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480" windowHeight="9915" tabRatio="867" firstSheet="10" activeTab="12"/>
  </bookViews>
  <sheets>
    <sheet name="งบแสดงฐานะการเงิน(สท)" sheetId="39" r:id="rId1"/>
    <sheet name="งบแสดงฐานะการเงิน(นส)" sheetId="41" r:id="rId2"/>
    <sheet name="งบทรัพย์สิน2" sheetId="42" r:id="rId3"/>
    <sheet name="เงินฝากธนาคาร3-4" sheetId="3" r:id="rId4"/>
    <sheet name="ลูกหนี้5" sheetId="30" r:id="rId5"/>
    <sheet name="รายจ่ายค้างจ่าย10" sheetId="31" r:id="rId6"/>
    <sheet name="ฎีกาค้างจ่าย11" sheetId="32" r:id="rId7"/>
    <sheet name="เงินรับฝาก12-13" sheetId="40" r:id="rId8"/>
    <sheet name="งบเงินสะสม16" sheetId="24" r:id="rId9"/>
    <sheet name="หมายเหตุ16" sheetId="27" r:id="rId10"/>
    <sheet name="เงินทุนสำรองเงินสะสม17" sheetId="33" r:id="rId11"/>
    <sheet name="จ่ายจากเงินสะสม" sheetId="35" r:id="rId12"/>
    <sheet name="จ่ายจากเงินรายรับ" sheetId="28" r:id="rId13"/>
    <sheet name="แผนงานรวม" sheetId="34" r:id="rId14"/>
    <sheet name="แยกแผนงาน" sheetId="11" r:id="rId15"/>
    <sheet name="หมายเหตุประกอบผลการดำเนินงาน" sheetId="12" r:id="rId16"/>
    <sheet name="งบทดลองหลังปิดบัญชี" sheetId="37" r:id="rId17"/>
    <sheet name="กระดาษทำการ" sheetId="16" r:id="rId18"/>
    <sheet name="หมายเหตุ1" sheetId="4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12">จ่ายจากเงินรายรับ!$A$1:$M$162</definedName>
    <definedName name="_xlnm.Print_Titles" localSheetId="10">เงินทุนสำรองเงินสะสม17!$1:$5</definedName>
    <definedName name="_xlnm.Print_Titles" localSheetId="6">ฎีกาค้างจ่าย11!$1:$5</definedName>
    <definedName name="_xlnm.Print_Titles" localSheetId="9">หมายเหตุ16!$1:$5</definedName>
  </definedNames>
  <calcPr calcId="144525"/>
</workbook>
</file>

<file path=xl/calcChain.xml><?xml version="1.0" encoding="utf-8"?>
<calcChain xmlns="http://schemas.openxmlformats.org/spreadsheetml/2006/main">
  <c r="E7" i="42" l="1"/>
  <c r="E18" i="42"/>
  <c r="E14" i="42"/>
  <c r="C18" i="42"/>
  <c r="C8" i="42"/>
  <c r="C9" i="42"/>
  <c r="H24" i="33" l="1"/>
  <c r="E24" i="33"/>
  <c r="F24" i="33"/>
  <c r="D24" i="33"/>
  <c r="G7" i="33"/>
  <c r="E34" i="42" l="1"/>
  <c r="C34" i="42"/>
  <c r="C24" i="42"/>
  <c r="C23" i="42"/>
  <c r="C20" i="42" l="1"/>
  <c r="C19" i="42"/>
  <c r="C17" i="42"/>
  <c r="C15" i="42"/>
  <c r="C12" i="42"/>
  <c r="E13" i="30" l="1"/>
  <c r="D13" i="30"/>
  <c r="D12" i="30"/>
  <c r="F12" i="30"/>
  <c r="E7" i="30"/>
  <c r="G23" i="31"/>
  <c r="I17" i="24" l="1"/>
  <c r="H11" i="24"/>
  <c r="J28" i="12" l="1"/>
  <c r="J29" i="12" s="1"/>
  <c r="J50" i="12"/>
  <c r="J22" i="12" l="1"/>
  <c r="J16" i="12"/>
  <c r="J10" i="12"/>
  <c r="J25" i="12"/>
  <c r="J30" i="12" l="1"/>
  <c r="J47" i="12"/>
  <c r="J41" i="12"/>
  <c r="J38" i="12"/>
  <c r="J37" i="12"/>
  <c r="J44" i="12" l="1"/>
  <c r="L43" i="12"/>
  <c r="H15" i="24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J5" i="40"/>
  <c r="J20" i="40" s="1"/>
  <c r="L51" i="12" l="1"/>
  <c r="G49" i="35"/>
  <c r="K16" i="35"/>
  <c r="J15" i="35"/>
  <c r="J14" i="35"/>
  <c r="J13" i="35"/>
  <c r="J12" i="35"/>
  <c r="J11" i="35"/>
  <c r="J10" i="35"/>
  <c r="J9" i="35"/>
  <c r="J8" i="35"/>
  <c r="J7" i="35"/>
  <c r="J6" i="35"/>
  <c r="I15" i="35"/>
  <c r="I14" i="35"/>
  <c r="I13" i="35"/>
  <c r="I12" i="35"/>
  <c r="I11" i="35"/>
  <c r="I10" i="35"/>
  <c r="I9" i="35"/>
  <c r="I8" i="35"/>
  <c r="I7" i="35"/>
  <c r="I6" i="35"/>
  <c r="H15" i="35"/>
  <c r="H14" i="35"/>
  <c r="H13" i="35"/>
  <c r="H12" i="35"/>
  <c r="H11" i="35"/>
  <c r="H10" i="35"/>
  <c r="H9" i="35"/>
  <c r="H8" i="35"/>
  <c r="H7" i="35"/>
  <c r="H6" i="35"/>
  <c r="G15" i="35"/>
  <c r="G14" i="35"/>
  <c r="G13" i="35"/>
  <c r="G12" i="35"/>
  <c r="G11" i="35"/>
  <c r="G10" i="35"/>
  <c r="G9" i="35"/>
  <c r="G8" i="35"/>
  <c r="G7" i="35"/>
  <c r="G6" i="35"/>
  <c r="F15" i="35"/>
  <c r="F14" i="35"/>
  <c r="F13" i="35"/>
  <c r="F12" i="35"/>
  <c r="F11" i="35"/>
  <c r="F10" i="35"/>
  <c r="F9" i="35"/>
  <c r="F8" i="35"/>
  <c r="F7" i="35"/>
  <c r="F6" i="35"/>
  <c r="E15" i="35"/>
  <c r="E14" i="35"/>
  <c r="E13" i="35"/>
  <c r="E12" i="35"/>
  <c r="E11" i="35"/>
  <c r="E10" i="35"/>
  <c r="E9" i="35"/>
  <c r="E8" i="35"/>
  <c r="E7" i="35"/>
  <c r="E6" i="35"/>
  <c r="D15" i="35"/>
  <c r="D14" i="35"/>
  <c r="D13" i="35"/>
  <c r="D12" i="35"/>
  <c r="D11" i="35"/>
  <c r="D10" i="35"/>
  <c r="D9" i="35"/>
  <c r="D8" i="35"/>
  <c r="D7" i="35"/>
  <c r="D6" i="35"/>
  <c r="C15" i="35"/>
  <c r="C14" i="35"/>
  <c r="C13" i="35"/>
  <c r="C12" i="35"/>
  <c r="C11" i="35"/>
  <c r="C10" i="35"/>
  <c r="C9" i="35"/>
  <c r="C8" i="35"/>
  <c r="C7" i="35"/>
  <c r="C6" i="35"/>
  <c r="D42" i="28"/>
  <c r="D40" i="28"/>
  <c r="D39" i="28"/>
  <c r="D38" i="28"/>
  <c r="D37" i="28"/>
  <c r="D36" i="28"/>
  <c r="D35" i="28"/>
  <c r="D34" i="28"/>
  <c r="D33" i="28"/>
  <c r="C40" i="28"/>
  <c r="C39" i="28"/>
  <c r="C38" i="28"/>
  <c r="C37" i="28"/>
  <c r="C36" i="28"/>
  <c r="C35" i="28"/>
  <c r="C34" i="28"/>
  <c r="C33" i="28"/>
  <c r="C16" i="28"/>
  <c r="C15" i="28"/>
  <c r="C14" i="28"/>
  <c r="C13" i="28"/>
  <c r="C12" i="28"/>
  <c r="C11" i="28"/>
  <c r="C10" i="28"/>
  <c r="C9" i="28"/>
  <c r="C8" i="28"/>
  <c r="C7" i="28"/>
  <c r="C6" i="28"/>
  <c r="M19" i="28"/>
  <c r="L29" i="28"/>
  <c r="L28" i="28"/>
  <c r="L27" i="28"/>
  <c r="L26" i="28"/>
  <c r="L25" i="28"/>
  <c r="L24" i="28"/>
  <c r="L23" i="28"/>
  <c r="L22" i="28"/>
  <c r="L21" i="28"/>
  <c r="K29" i="28"/>
  <c r="K28" i="28"/>
  <c r="K27" i="28"/>
  <c r="K26" i="28"/>
  <c r="K25" i="28"/>
  <c r="K24" i="28"/>
  <c r="K23" i="28"/>
  <c r="K22" i="28"/>
  <c r="K21" i="28"/>
  <c r="J29" i="28"/>
  <c r="J28" i="28"/>
  <c r="J27" i="28"/>
  <c r="J26" i="28"/>
  <c r="J25" i="28"/>
  <c r="J24" i="28"/>
  <c r="J23" i="28"/>
  <c r="J22" i="28"/>
  <c r="J21" i="28"/>
  <c r="I29" i="28"/>
  <c r="I28" i="28"/>
  <c r="I27" i="28"/>
  <c r="I26" i="28"/>
  <c r="I25" i="28"/>
  <c r="I24" i="28"/>
  <c r="I23" i="28"/>
  <c r="I22" i="28"/>
  <c r="I21" i="28"/>
  <c r="H29" i="28"/>
  <c r="H28" i="28"/>
  <c r="H27" i="28"/>
  <c r="H26" i="28"/>
  <c r="H25" i="28"/>
  <c r="H24" i="28"/>
  <c r="H23" i="28"/>
  <c r="H22" i="28"/>
  <c r="H21" i="28"/>
  <c r="G29" i="28"/>
  <c r="G28" i="28"/>
  <c r="G27" i="28"/>
  <c r="G26" i="28"/>
  <c r="G25" i="28"/>
  <c r="G24" i="28"/>
  <c r="G23" i="28"/>
  <c r="G22" i="28"/>
  <c r="G21" i="28"/>
  <c r="G20" i="28"/>
  <c r="G19" i="28"/>
  <c r="F29" i="28"/>
  <c r="F28" i="28"/>
  <c r="F27" i="28"/>
  <c r="F26" i="28"/>
  <c r="F25" i="28"/>
  <c r="F24" i="28"/>
  <c r="F23" i="28"/>
  <c r="F22" i="28"/>
  <c r="F21" i="28"/>
  <c r="E29" i="28"/>
  <c r="E28" i="28"/>
  <c r="E27" i="28"/>
  <c r="E26" i="28"/>
  <c r="E25" i="28"/>
  <c r="E24" i="28"/>
  <c r="E23" i="28"/>
  <c r="E22" i="28"/>
  <c r="E21" i="28"/>
  <c r="E20" i="28"/>
  <c r="D239" i="11"/>
  <c r="D219" i="11"/>
  <c r="D218" i="11"/>
  <c r="D217" i="11"/>
  <c r="D216" i="11"/>
  <c r="D215" i="11"/>
  <c r="D214" i="11"/>
  <c r="D213" i="11"/>
  <c r="D212" i="11"/>
  <c r="D211" i="11"/>
  <c r="D210" i="11"/>
  <c r="F190" i="11"/>
  <c r="F189" i="11"/>
  <c r="F188" i="11"/>
  <c r="F187" i="11"/>
  <c r="F186" i="11"/>
  <c r="F185" i="11"/>
  <c r="F184" i="11"/>
  <c r="F183" i="11"/>
  <c r="F182" i="11"/>
  <c r="F181" i="11"/>
  <c r="E190" i="11"/>
  <c r="E189" i="11"/>
  <c r="E188" i="11"/>
  <c r="E187" i="11"/>
  <c r="E186" i="11"/>
  <c r="E185" i="11"/>
  <c r="E184" i="11"/>
  <c r="E183" i="11"/>
  <c r="E182" i="11"/>
  <c r="E181" i="11"/>
  <c r="E161" i="11" l="1"/>
  <c r="E160" i="11"/>
  <c r="E159" i="11"/>
  <c r="E158" i="11"/>
  <c r="E157" i="11"/>
  <c r="E156" i="11"/>
  <c r="E155" i="11"/>
  <c r="E154" i="11"/>
  <c r="E153" i="11"/>
  <c r="E152" i="11"/>
  <c r="D161" i="11"/>
  <c r="D160" i="11"/>
  <c r="D159" i="11"/>
  <c r="D158" i="11"/>
  <c r="D157" i="11"/>
  <c r="D156" i="11"/>
  <c r="D155" i="11"/>
  <c r="D154" i="11"/>
  <c r="D152" i="11"/>
  <c r="G132" i="11"/>
  <c r="G131" i="11"/>
  <c r="G130" i="11"/>
  <c r="G129" i="11"/>
  <c r="G128" i="11"/>
  <c r="G127" i="11"/>
  <c r="G126" i="11"/>
  <c r="G125" i="11"/>
  <c r="G123" i="11"/>
  <c r="E132" i="11"/>
  <c r="E131" i="11"/>
  <c r="E130" i="11"/>
  <c r="E129" i="11"/>
  <c r="E128" i="11"/>
  <c r="E127" i="11"/>
  <c r="E126" i="11"/>
  <c r="E125" i="11"/>
  <c r="E123" i="11"/>
  <c r="D132" i="11"/>
  <c r="D131" i="11"/>
  <c r="D130" i="11"/>
  <c r="D128" i="11"/>
  <c r="D126" i="11"/>
  <c r="D125" i="11"/>
  <c r="D123" i="11"/>
  <c r="F103" i="11"/>
  <c r="F102" i="11"/>
  <c r="F101" i="11"/>
  <c r="F100" i="11"/>
  <c r="F99" i="11"/>
  <c r="F98" i="11"/>
  <c r="F97" i="11"/>
  <c r="F96" i="11"/>
  <c r="F94" i="11"/>
  <c r="G74" i="11"/>
  <c r="G73" i="11"/>
  <c r="G72" i="11"/>
  <c r="G71" i="11"/>
  <c r="G69" i="11"/>
  <c r="G68" i="11"/>
  <c r="G67" i="11"/>
  <c r="G65" i="11"/>
  <c r="E74" i="11"/>
  <c r="E73" i="11"/>
  <c r="E72" i="11"/>
  <c r="E71" i="11"/>
  <c r="E68" i="11"/>
  <c r="E67" i="11"/>
  <c r="E65" i="11"/>
  <c r="D74" i="11"/>
  <c r="D73" i="11"/>
  <c r="D72" i="11"/>
  <c r="D71" i="11"/>
  <c r="D70" i="11"/>
  <c r="D69" i="11"/>
  <c r="D67" i="11"/>
  <c r="D65" i="11"/>
  <c r="F45" i="11"/>
  <c r="F44" i="11"/>
  <c r="F43" i="11"/>
  <c r="F42" i="11"/>
  <c r="F41" i="11"/>
  <c r="F40" i="11"/>
  <c r="F39" i="11"/>
  <c r="F38" i="11"/>
  <c r="F36" i="11"/>
  <c r="F14" i="11"/>
  <c r="F13" i="11"/>
  <c r="F12" i="11"/>
  <c r="F11" i="11"/>
  <c r="F10" i="11"/>
  <c r="F9" i="11"/>
  <c r="F8" i="11"/>
  <c r="F7" i="11"/>
  <c r="F5" i="11"/>
  <c r="E14" i="11"/>
  <c r="E13" i="11"/>
  <c r="E12" i="11"/>
  <c r="E11" i="11"/>
  <c r="E10" i="11"/>
  <c r="E9" i="11"/>
  <c r="E8" i="11"/>
  <c r="E7" i="11"/>
  <c r="E5" i="11"/>
  <c r="D14" i="11"/>
  <c r="D13" i="11"/>
  <c r="D12" i="11"/>
  <c r="D11" i="11"/>
  <c r="D8" i="11"/>
  <c r="D7" i="11"/>
  <c r="C48" i="16" l="1"/>
  <c r="C47" i="16"/>
  <c r="C42" i="16"/>
  <c r="C36" i="16"/>
  <c r="D23" i="16"/>
  <c r="D28" i="16" l="1"/>
  <c r="D27" i="16"/>
  <c r="D26" i="16"/>
  <c r="D24" i="16"/>
  <c r="C21" i="16"/>
  <c r="I21" i="16" s="1"/>
  <c r="C20" i="16"/>
  <c r="I20" i="16" s="1"/>
  <c r="C19" i="16"/>
  <c r="C18" i="16"/>
  <c r="C20" i="37" l="1"/>
  <c r="I22" i="24"/>
  <c r="I10" i="39"/>
  <c r="C21" i="37"/>
  <c r="I17" i="39"/>
  <c r="D25" i="16"/>
  <c r="C17" i="16" l="1"/>
  <c r="C15" i="16"/>
  <c r="C14" i="16"/>
  <c r="C13" i="16"/>
  <c r="C12" i="16"/>
  <c r="C11" i="16"/>
  <c r="C9" i="16"/>
  <c r="C7" i="16" l="1"/>
  <c r="C6" i="16"/>
  <c r="C8" i="16"/>
  <c r="C10" i="16"/>
  <c r="C16" i="16" l="1"/>
  <c r="J24" i="40" l="1"/>
  <c r="J20" i="3"/>
  <c r="C5" i="16" l="1"/>
  <c r="E9" i="42" l="1"/>
  <c r="C21" i="42"/>
  <c r="D22" i="16" l="1"/>
  <c r="E36" i="42"/>
  <c r="C44" i="42"/>
  <c r="E44" i="42" l="1"/>
  <c r="E6" i="30" l="1"/>
  <c r="E12" i="30" s="1"/>
  <c r="I12" i="30" l="1"/>
  <c r="G12" i="30"/>
  <c r="I56" i="16" l="1"/>
  <c r="J55" i="16"/>
  <c r="I54" i="16"/>
  <c r="C42" i="28" l="1"/>
  <c r="L4" i="12" l="1"/>
  <c r="I53" i="16" l="1"/>
  <c r="J24" i="16"/>
  <c r="J23" i="16"/>
  <c r="F63" i="16"/>
  <c r="J22" i="16"/>
  <c r="I8" i="41" s="1"/>
  <c r="I19" i="16"/>
  <c r="I18" i="16"/>
  <c r="C18" i="37" s="1"/>
  <c r="I17" i="16"/>
  <c r="C17" i="37" s="1"/>
  <c r="I16" i="16"/>
  <c r="I15" i="16"/>
  <c r="I14" i="16"/>
  <c r="C14" i="37" s="1"/>
  <c r="I13" i="16"/>
  <c r="I12" i="16"/>
  <c r="I11" i="16"/>
  <c r="I8" i="16"/>
  <c r="C8" i="37" s="1"/>
  <c r="E63" i="16"/>
  <c r="I5" i="16"/>
  <c r="C5" i="37" s="1"/>
  <c r="C15" i="37" l="1"/>
  <c r="I23" i="24"/>
  <c r="J25" i="24" s="1"/>
  <c r="C13" i="37"/>
  <c r="I12" i="39"/>
  <c r="D23" i="37"/>
  <c r="I10" i="41"/>
  <c r="C16" i="37"/>
  <c r="I11" i="39"/>
  <c r="D24" i="37"/>
  <c r="I9" i="41"/>
  <c r="I14" i="3"/>
  <c r="C12" i="37"/>
  <c r="I13" i="3"/>
  <c r="C11" i="37"/>
  <c r="C19" i="37"/>
  <c r="D22" i="37"/>
  <c r="F64" i="16"/>
  <c r="K21" i="16"/>
  <c r="I9" i="16" l="1"/>
  <c r="I11" i="3" l="1"/>
  <c r="C9" i="37"/>
  <c r="F219" i="11" l="1"/>
  <c r="F218" i="11"/>
  <c r="F217" i="11"/>
  <c r="F216" i="11"/>
  <c r="F215" i="11"/>
  <c r="F214" i="11"/>
  <c r="F212" i="11"/>
  <c r="F211" i="11"/>
  <c r="F210" i="11"/>
  <c r="H190" i="11"/>
  <c r="H189" i="11"/>
  <c r="H188" i="11"/>
  <c r="H187" i="11"/>
  <c r="H186" i="11"/>
  <c r="H185" i="11"/>
  <c r="H183" i="11"/>
  <c r="H182" i="11"/>
  <c r="H181" i="11"/>
  <c r="F152" i="11"/>
  <c r="I123" i="11"/>
  <c r="H103" i="11"/>
  <c r="H102" i="11"/>
  <c r="H101" i="11"/>
  <c r="H100" i="11"/>
  <c r="H99" i="11"/>
  <c r="H96" i="11"/>
  <c r="H94" i="11"/>
  <c r="G38" i="11"/>
  <c r="G36" i="11"/>
  <c r="H65" i="11" l="1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I8" i="31"/>
  <c r="I7" i="31"/>
  <c r="I6" i="31"/>
  <c r="G9" i="30"/>
  <c r="G7" i="30"/>
  <c r="G6" i="30"/>
  <c r="F23" i="42"/>
  <c r="F21" i="42"/>
  <c r="F16" i="42"/>
  <c r="F13" i="42"/>
  <c r="F9" i="42"/>
  <c r="E12" i="42" l="1"/>
  <c r="H12" i="42" s="1"/>
  <c r="H7" i="42" l="1"/>
  <c r="H18" i="42"/>
  <c r="H14" i="42"/>
  <c r="H9" i="42"/>
  <c r="C22" i="42"/>
  <c r="F22" i="42" s="1"/>
  <c r="F17" i="42"/>
  <c r="F12" i="42"/>
  <c r="F8" i="42"/>
  <c r="C25" i="42" l="1"/>
  <c r="G23" i="42"/>
  <c r="G22" i="42"/>
  <c r="G21" i="42"/>
  <c r="G17" i="42"/>
  <c r="G16" i="42"/>
  <c r="E16" i="42"/>
  <c r="H16" i="42" s="1"/>
  <c r="F15" i="42"/>
  <c r="C14" i="42"/>
  <c r="G13" i="42"/>
  <c r="E27" i="42"/>
  <c r="F44" i="42" s="1"/>
  <c r="G20" i="42" l="1"/>
  <c r="F20" i="42"/>
  <c r="G24" i="42"/>
  <c r="F24" i="42"/>
  <c r="C27" i="42"/>
  <c r="G27" i="42" s="1"/>
  <c r="F14" i="42"/>
  <c r="G15" i="42"/>
  <c r="G18" i="42"/>
  <c r="F18" i="42"/>
  <c r="G25" i="42"/>
  <c r="F25" i="42"/>
  <c r="G14" i="42"/>
  <c r="I19" i="41"/>
  <c r="I5" i="41" l="1"/>
  <c r="I5" i="39"/>
  <c r="I15" i="39"/>
  <c r="I24" i="39"/>
  <c r="F20" i="32" l="1"/>
  <c r="G20" i="32" s="1"/>
  <c r="I11" i="31"/>
  <c r="F24" i="27" l="1"/>
  <c r="G24" i="27"/>
  <c r="D24" i="27"/>
  <c r="E24" i="27"/>
  <c r="M96" i="28" l="1"/>
  <c r="M139" i="28" s="1"/>
  <c r="M97" i="28"/>
  <c r="M140" i="28" s="1"/>
  <c r="M98" i="28"/>
  <c r="M141" i="28" s="1"/>
  <c r="M99" i="28"/>
  <c r="M142" i="28" s="1"/>
  <c r="M100" i="28"/>
  <c r="M143" i="28" s="1"/>
  <c r="M101" i="28"/>
  <c r="M144" i="28" s="1"/>
  <c r="M102" i="28"/>
  <c r="M145" i="28" s="1"/>
  <c r="M103" i="28"/>
  <c r="M146" i="28" s="1"/>
  <c r="M104" i="28"/>
  <c r="M147" i="28" s="1"/>
  <c r="M105" i="28"/>
  <c r="M148" i="28" s="1"/>
  <c r="L95" i="28"/>
  <c r="L138" i="28" s="1"/>
  <c r="K95" i="28"/>
  <c r="K138" i="28" s="1"/>
  <c r="J95" i="28"/>
  <c r="J138" i="28" s="1"/>
  <c r="I95" i="28"/>
  <c r="I138" i="28" s="1"/>
  <c r="H95" i="28"/>
  <c r="H138" i="28" s="1"/>
  <c r="G95" i="28"/>
  <c r="G138" i="28" s="1"/>
  <c r="F95" i="28"/>
  <c r="F138" i="28" s="1"/>
  <c r="E95" i="28"/>
  <c r="E138" i="28" s="1"/>
  <c r="D116" i="28" l="1"/>
  <c r="D158" i="28"/>
  <c r="D113" i="28"/>
  <c r="D155" i="28"/>
  <c r="D111" i="28"/>
  <c r="D153" i="28"/>
  <c r="C159" i="28"/>
  <c r="C116" i="28"/>
  <c r="C115" i="28"/>
  <c r="C114" i="28"/>
  <c r="C113" i="28"/>
  <c r="C112" i="28"/>
  <c r="C111" i="28"/>
  <c r="C110" i="28"/>
  <c r="C108" i="28"/>
  <c r="C109" i="28"/>
  <c r="C158" i="28" l="1"/>
  <c r="C156" i="28"/>
  <c r="C151" i="28"/>
  <c r="C157" i="28"/>
  <c r="C155" i="28"/>
  <c r="C153" i="28"/>
  <c r="D73" i="28"/>
  <c r="D70" i="28"/>
  <c r="D68" i="28"/>
  <c r="D115" i="28"/>
  <c r="D112" i="28"/>
  <c r="D110" i="28"/>
  <c r="D159" i="28"/>
  <c r="D156" i="28"/>
  <c r="D154" i="28"/>
  <c r="C154" i="28"/>
  <c r="C152" i="28"/>
  <c r="D72" i="28"/>
  <c r="D69" i="28"/>
  <c r="D67" i="28"/>
  <c r="K7" i="28" l="1"/>
  <c r="K53" i="28" s="1"/>
  <c r="K96" i="28" s="1"/>
  <c r="K139" i="28" s="1"/>
  <c r="C105" i="28" l="1"/>
  <c r="C148" i="28"/>
  <c r="G6" i="34"/>
  <c r="G8" i="34"/>
  <c r="G11" i="34"/>
  <c r="G13" i="34"/>
  <c r="G14" i="34"/>
  <c r="K7" i="34"/>
  <c r="K8" i="34"/>
  <c r="K10" i="34"/>
  <c r="K11" i="34"/>
  <c r="K12" i="34"/>
  <c r="K13" i="34"/>
  <c r="K14" i="34"/>
  <c r="K15" i="34"/>
  <c r="K6" i="34"/>
  <c r="J7" i="34"/>
  <c r="J8" i="34"/>
  <c r="J10" i="34"/>
  <c r="J11" i="34"/>
  <c r="J12" i="34"/>
  <c r="J13" i="34"/>
  <c r="J14" i="34"/>
  <c r="J6" i="34"/>
  <c r="I6" i="34"/>
  <c r="H6" i="34"/>
  <c r="F6" i="34"/>
  <c r="E8" i="34"/>
  <c r="E6" i="34"/>
  <c r="K87" i="35"/>
  <c r="L86" i="35"/>
  <c r="J87" i="35"/>
  <c r="I87" i="35"/>
  <c r="H87" i="35"/>
  <c r="G87" i="35"/>
  <c r="F87" i="35"/>
  <c r="E87" i="35"/>
  <c r="D87" i="35"/>
  <c r="C87" i="35"/>
  <c r="I53" i="35"/>
  <c r="G53" i="35"/>
  <c r="E53" i="35"/>
  <c r="K53" i="35"/>
  <c r="L14" i="35"/>
  <c r="L13" i="35"/>
  <c r="N12" i="35"/>
  <c r="L11" i="35"/>
  <c r="L10" i="35"/>
  <c r="L16" i="35"/>
  <c r="G24" i="33"/>
  <c r="L43" i="35" l="1"/>
  <c r="L44" i="35"/>
  <c r="L46" i="35"/>
  <c r="L47" i="35"/>
  <c r="L51" i="35"/>
  <c r="L77" i="35"/>
  <c r="L78" i="35"/>
  <c r="L79" i="35"/>
  <c r="L80" i="35"/>
  <c r="L81" i="35"/>
  <c r="L82" i="35"/>
  <c r="L83" i="35"/>
  <c r="L84" i="35"/>
  <c r="L85" i="35"/>
  <c r="L45" i="35"/>
  <c r="L7" i="35"/>
  <c r="L49" i="35"/>
  <c r="C53" i="35"/>
  <c r="L76" i="35"/>
  <c r="L9" i="35"/>
  <c r="L50" i="35"/>
  <c r="L6" i="35"/>
  <c r="E17" i="35"/>
  <c r="G17" i="35"/>
  <c r="I17" i="35"/>
  <c r="L48" i="35"/>
  <c r="D17" i="35"/>
  <c r="F17" i="35"/>
  <c r="H17" i="35"/>
  <c r="J17" i="35"/>
  <c r="L8" i="35"/>
  <c r="L12" i="35"/>
  <c r="L15" i="35"/>
  <c r="D53" i="35"/>
  <c r="F53" i="35"/>
  <c r="H53" i="35"/>
  <c r="J53" i="35"/>
  <c r="C17" i="35"/>
  <c r="K17" i="35"/>
  <c r="L52" i="35"/>
  <c r="L42" i="35"/>
  <c r="I13" i="32"/>
  <c r="I13" i="39"/>
  <c r="L87" i="35" l="1"/>
  <c r="L17" i="35"/>
  <c r="N17" i="35" s="1"/>
  <c r="L53" i="35"/>
  <c r="C20" i="34"/>
  <c r="K8" i="30"/>
  <c r="N13" i="35" l="1"/>
  <c r="F213" i="11" l="1"/>
  <c r="G15" i="34"/>
  <c r="G12" i="34"/>
  <c r="H98" i="11"/>
  <c r="G10" i="34" s="1"/>
  <c r="H97" i="11"/>
  <c r="G9" i="34" s="1"/>
  <c r="H74" i="11"/>
  <c r="F15" i="34" s="1"/>
  <c r="H73" i="11"/>
  <c r="F14" i="34" s="1"/>
  <c r="H72" i="11"/>
  <c r="F13" i="34" s="1"/>
  <c r="H71" i="11"/>
  <c r="F12" i="34" s="1"/>
  <c r="H67" i="11"/>
  <c r="F8" i="34" s="1"/>
  <c r="G45" i="11"/>
  <c r="E15" i="34" s="1"/>
  <c r="G44" i="11"/>
  <c r="E14" i="34" s="1"/>
  <c r="G43" i="11"/>
  <c r="E13" i="34" s="1"/>
  <c r="G42" i="11"/>
  <c r="E12" i="34" s="1"/>
  <c r="G41" i="11"/>
  <c r="E11" i="34" s="1"/>
  <c r="G40" i="11"/>
  <c r="E10" i="34" s="1"/>
  <c r="G39" i="11"/>
  <c r="E9" i="34" s="1"/>
  <c r="F220" i="11" l="1"/>
  <c r="G220" i="11" s="1"/>
  <c r="K9" i="34"/>
  <c r="K17" i="34" s="1"/>
  <c r="E239" i="11"/>
  <c r="E250" i="11" s="1"/>
  <c r="F250" i="11" s="1"/>
  <c r="L16" i="34"/>
  <c r="I126" i="11"/>
  <c r="H9" i="34" s="1"/>
  <c r="I128" i="11"/>
  <c r="H11" i="34" s="1"/>
  <c r="I130" i="11"/>
  <c r="H13" i="34" s="1"/>
  <c r="I132" i="11"/>
  <c r="H15" i="34" s="1"/>
  <c r="F155" i="11"/>
  <c r="I9" i="34" s="1"/>
  <c r="F157" i="11"/>
  <c r="I11" i="34" s="1"/>
  <c r="F159" i="11"/>
  <c r="I13" i="34" s="1"/>
  <c r="F161" i="11"/>
  <c r="I15" i="34" s="1"/>
  <c r="H184" i="11"/>
  <c r="J9" i="34" s="1"/>
  <c r="J15" i="34"/>
  <c r="I125" i="11"/>
  <c r="H8" i="34" s="1"/>
  <c r="I131" i="11"/>
  <c r="H14" i="34" s="1"/>
  <c r="F154" i="11"/>
  <c r="I8" i="34" s="1"/>
  <c r="F156" i="11"/>
  <c r="I10" i="34" s="1"/>
  <c r="F158" i="11"/>
  <c r="I12" i="34" s="1"/>
  <c r="F160" i="11"/>
  <c r="I14" i="34" s="1"/>
  <c r="K18" i="34" l="1"/>
  <c r="J17" i="34"/>
  <c r="L17" i="34"/>
  <c r="L18" i="34" s="1"/>
  <c r="M16" i="34"/>
  <c r="H191" i="11"/>
  <c r="I191" i="11" s="1"/>
  <c r="J18" i="34" l="1"/>
  <c r="C160" i="28" l="1"/>
  <c r="C117" i="28" l="1"/>
  <c r="D19" i="28" l="1"/>
  <c r="C30" i="28" l="1"/>
  <c r="D20" i="28"/>
  <c r="D22" i="28"/>
  <c r="D25" i="28"/>
  <c r="D28" i="28"/>
  <c r="D29" i="28"/>
  <c r="D23" i="28" l="1"/>
  <c r="D24" i="28"/>
  <c r="L30" i="28"/>
  <c r="K30" i="28"/>
  <c r="J30" i="28"/>
  <c r="I30" i="28"/>
  <c r="D27" i="28"/>
  <c r="D26" i="28"/>
  <c r="H30" i="28"/>
  <c r="F30" i="28"/>
  <c r="G30" i="28"/>
  <c r="E30" i="28"/>
  <c r="D21" i="28"/>
  <c r="C74" i="28"/>
  <c r="C72" i="28"/>
  <c r="C71" i="28"/>
  <c r="C70" i="28"/>
  <c r="C69" i="28"/>
  <c r="C68" i="28"/>
  <c r="C67" i="28"/>
  <c r="C66" i="28"/>
  <c r="C65" i="28"/>
  <c r="M30" i="28" l="1"/>
  <c r="D30" i="28"/>
  <c r="C75" i="28"/>
  <c r="M16" i="28"/>
  <c r="L16" i="28"/>
  <c r="L62" i="28" s="1"/>
  <c r="L105" i="28" s="1"/>
  <c r="L148" i="28" s="1"/>
  <c r="M15" i="28"/>
  <c r="L15" i="28"/>
  <c r="L61" i="28" s="1"/>
  <c r="L104" i="28" s="1"/>
  <c r="L147" i="28" s="1"/>
  <c r="K15" i="28"/>
  <c r="K61" i="28" s="1"/>
  <c r="K104" i="28" s="1"/>
  <c r="K147" i="28" s="1"/>
  <c r="J15" i="28"/>
  <c r="J61" i="28" s="1"/>
  <c r="J104" i="28" s="1"/>
  <c r="J147" i="28" s="1"/>
  <c r="H15" i="28"/>
  <c r="H61" i="28" s="1"/>
  <c r="H104" i="28" s="1"/>
  <c r="H147" i="28" s="1"/>
  <c r="F15" i="28"/>
  <c r="F61" i="28" s="1"/>
  <c r="F104" i="28" s="1"/>
  <c r="F147" i="28" s="1"/>
  <c r="M14" i="28"/>
  <c r="L14" i="28"/>
  <c r="L60" i="28" s="1"/>
  <c r="L103" i="28" s="1"/>
  <c r="L146" i="28" s="1"/>
  <c r="K14" i="28"/>
  <c r="K60" i="28" s="1"/>
  <c r="K103" i="28" s="1"/>
  <c r="K146" i="28" s="1"/>
  <c r="J14" i="28"/>
  <c r="J60" i="28" s="1"/>
  <c r="J103" i="28" s="1"/>
  <c r="J146" i="28" s="1"/>
  <c r="H14" i="28"/>
  <c r="H60" i="28" s="1"/>
  <c r="H103" i="28" s="1"/>
  <c r="H146" i="28" s="1"/>
  <c r="F14" i="28"/>
  <c r="F60" i="28" s="1"/>
  <c r="F103" i="28" s="1"/>
  <c r="F146" i="28" s="1"/>
  <c r="M13" i="28"/>
  <c r="L13" i="28"/>
  <c r="L59" i="28" s="1"/>
  <c r="L102" i="28" s="1"/>
  <c r="L145" i="28" s="1"/>
  <c r="K13" i="28"/>
  <c r="K59" i="28" s="1"/>
  <c r="K102" i="28" s="1"/>
  <c r="K145" i="28" s="1"/>
  <c r="J13" i="28"/>
  <c r="J59" i="28" s="1"/>
  <c r="J102" i="28" s="1"/>
  <c r="J145" i="28" s="1"/>
  <c r="H13" i="28"/>
  <c r="H59" i="28" s="1"/>
  <c r="H102" i="28" s="1"/>
  <c r="H145" i="28" s="1"/>
  <c r="F13" i="28"/>
  <c r="F59" i="28" s="1"/>
  <c r="F102" i="28" s="1"/>
  <c r="F145" i="28" s="1"/>
  <c r="M12" i="28"/>
  <c r="L12" i="28"/>
  <c r="L58" i="28" s="1"/>
  <c r="L101" i="28" s="1"/>
  <c r="L144" i="28" s="1"/>
  <c r="K12" i="28"/>
  <c r="K58" i="28" s="1"/>
  <c r="K101" i="28" s="1"/>
  <c r="K144" i="28" s="1"/>
  <c r="J12" i="28"/>
  <c r="J58" i="28" s="1"/>
  <c r="J101" i="28" s="1"/>
  <c r="J144" i="28" s="1"/>
  <c r="H12" i="28"/>
  <c r="H58" i="28" s="1"/>
  <c r="H101" i="28" s="1"/>
  <c r="H144" i="28" s="1"/>
  <c r="F12" i="28"/>
  <c r="F58" i="28" s="1"/>
  <c r="F101" i="28" s="1"/>
  <c r="F144" i="28" s="1"/>
  <c r="M11" i="28"/>
  <c r="L11" i="28"/>
  <c r="L57" i="28" s="1"/>
  <c r="L100" i="28" s="1"/>
  <c r="L143" i="28" s="1"/>
  <c r="K11" i="28"/>
  <c r="K57" i="28" s="1"/>
  <c r="K100" i="28" s="1"/>
  <c r="K143" i="28" s="1"/>
  <c r="H11" i="28"/>
  <c r="H57" i="28" s="1"/>
  <c r="H100" i="28" s="1"/>
  <c r="H143" i="28" s="1"/>
  <c r="F11" i="28"/>
  <c r="F57" i="28" s="1"/>
  <c r="F100" i="28" s="1"/>
  <c r="F143" i="28" s="1"/>
  <c r="M10" i="28"/>
  <c r="M9" i="28"/>
  <c r="L9" i="28"/>
  <c r="L55" i="28" s="1"/>
  <c r="L98" i="28" s="1"/>
  <c r="L141" i="28" s="1"/>
  <c r="K9" i="28"/>
  <c r="K55" i="28" s="1"/>
  <c r="K98" i="28" s="1"/>
  <c r="K141" i="28" s="1"/>
  <c r="J9" i="28"/>
  <c r="J55" i="28" s="1"/>
  <c r="J98" i="28" s="1"/>
  <c r="J141" i="28" s="1"/>
  <c r="H9" i="28"/>
  <c r="H55" i="28" s="1"/>
  <c r="H98" i="28" s="1"/>
  <c r="H141" i="28" s="1"/>
  <c r="F9" i="28"/>
  <c r="F55" i="28" s="1"/>
  <c r="F98" i="28" s="1"/>
  <c r="F141" i="28" s="1"/>
  <c r="M8" i="28"/>
  <c r="L8" i="28"/>
  <c r="L54" i="28" s="1"/>
  <c r="L97" i="28" s="1"/>
  <c r="L140" i="28" s="1"/>
  <c r="K8" i="28"/>
  <c r="K54" i="28" s="1"/>
  <c r="K97" i="28" s="1"/>
  <c r="K140" i="28" s="1"/>
  <c r="M7" i="28"/>
  <c r="L7" i="28"/>
  <c r="L53" i="28" s="1"/>
  <c r="L96" i="28" s="1"/>
  <c r="L139" i="28" s="1"/>
  <c r="J7" i="28"/>
  <c r="J53" i="28" s="1"/>
  <c r="J96" i="28" s="1"/>
  <c r="J139" i="28" s="1"/>
  <c r="I7" i="28"/>
  <c r="I53" i="28" s="1"/>
  <c r="I96" i="28" s="1"/>
  <c r="I139" i="28" s="1"/>
  <c r="H7" i="28"/>
  <c r="H53" i="28" s="1"/>
  <c r="H96" i="28" s="1"/>
  <c r="H139" i="28" s="1"/>
  <c r="G7" i="28"/>
  <c r="G53" i="28" s="1"/>
  <c r="G96" i="28" s="1"/>
  <c r="G139" i="28" s="1"/>
  <c r="F7" i="28"/>
  <c r="F53" i="28" s="1"/>
  <c r="F96" i="28" s="1"/>
  <c r="F139" i="28" s="1"/>
  <c r="C43" i="28" l="1"/>
  <c r="M239" i="11" l="1"/>
  <c r="M250" i="11" s="1"/>
  <c r="M220" i="11"/>
  <c r="N185" i="11"/>
  <c r="N186" i="11"/>
  <c r="N187" i="11"/>
  <c r="N188" i="11"/>
  <c r="N189" i="11"/>
  <c r="M190" i="11"/>
  <c r="M184" i="11"/>
  <c r="N157" i="11"/>
  <c r="N158" i="11"/>
  <c r="N159" i="11"/>
  <c r="N160" i="11"/>
  <c r="M155" i="11"/>
  <c r="M162" i="11" s="1"/>
  <c r="M127" i="11"/>
  <c r="M126" i="11"/>
  <c r="M97" i="11"/>
  <c r="M104" i="11" s="1"/>
  <c r="M74" i="11"/>
  <c r="M71" i="11"/>
  <c r="M69" i="11"/>
  <c r="M68" i="11"/>
  <c r="M67" i="11"/>
  <c r="M39" i="11"/>
  <c r="M46" i="11" s="1"/>
  <c r="M13" i="11"/>
  <c r="M11" i="11"/>
  <c r="M10" i="11"/>
  <c r="M9" i="11"/>
  <c r="M8" i="11"/>
  <c r="M7" i="11"/>
  <c r="M6" i="11"/>
  <c r="M5" i="11"/>
  <c r="J16" i="28"/>
  <c r="J62" i="28" s="1"/>
  <c r="J105" i="28" s="1"/>
  <c r="J148" i="28" s="1"/>
  <c r="I16" i="28"/>
  <c r="I62" i="28" s="1"/>
  <c r="I105" i="28" s="1"/>
  <c r="I148" i="28" s="1"/>
  <c r="I14" i="28"/>
  <c r="I60" i="28" s="1"/>
  <c r="I9" i="28"/>
  <c r="I55" i="28" s="1"/>
  <c r="I98" i="28" s="1"/>
  <c r="I141" i="28" s="1"/>
  <c r="G15" i="28"/>
  <c r="G61" i="28" s="1"/>
  <c r="G104" i="28" s="1"/>
  <c r="G147" i="28" s="1"/>
  <c r="G13" i="28"/>
  <c r="G59" i="28" s="1"/>
  <c r="G102" i="28" s="1"/>
  <c r="G145" i="28" s="1"/>
  <c r="G9" i="28"/>
  <c r="G55" i="28" s="1"/>
  <c r="G98" i="28" s="1"/>
  <c r="G141" i="28" s="1"/>
  <c r="I103" i="28" l="1"/>
  <c r="I146" i="28" s="1"/>
  <c r="N131" i="11"/>
  <c r="I15" i="28"/>
  <c r="I61" i="28" s="1"/>
  <c r="I104" i="28" s="1"/>
  <c r="I147" i="28" s="1"/>
  <c r="N156" i="11"/>
  <c r="J11" i="28"/>
  <c r="J57" i="28" s="1"/>
  <c r="J100" i="28" s="1"/>
  <c r="J143" i="28" s="1"/>
  <c r="N128" i="11"/>
  <c r="I12" i="28"/>
  <c r="I58" i="28" s="1"/>
  <c r="I101" i="28" s="1"/>
  <c r="I144" i="28" s="1"/>
  <c r="M75" i="11"/>
  <c r="M133" i="11"/>
  <c r="N71" i="11"/>
  <c r="N73" i="11"/>
  <c r="N132" i="11"/>
  <c r="I10" i="28"/>
  <c r="I56" i="28" s="1"/>
  <c r="I99" i="28" s="1"/>
  <c r="I142" i="28" s="1"/>
  <c r="G14" i="28"/>
  <c r="G60" i="28" s="1"/>
  <c r="G103" i="28" s="1"/>
  <c r="G146" i="28" s="1"/>
  <c r="G16" i="28"/>
  <c r="G62" i="28" s="1"/>
  <c r="G105" i="28" s="1"/>
  <c r="G148" i="28" s="1"/>
  <c r="M15" i="11"/>
  <c r="M191" i="11"/>
  <c r="N72" i="11" l="1"/>
  <c r="G12" i="11"/>
  <c r="G13" i="11"/>
  <c r="G14" i="11"/>
  <c r="G8" i="11"/>
  <c r="E220" i="11"/>
  <c r="D220" i="11"/>
  <c r="L10" i="28"/>
  <c r="L56" i="28" s="1"/>
  <c r="L99" i="28" s="1"/>
  <c r="K16" i="28"/>
  <c r="K62" i="28" s="1"/>
  <c r="K105" i="28" s="1"/>
  <c r="K148" i="28" s="1"/>
  <c r="K10" i="28"/>
  <c r="K56" i="28" s="1"/>
  <c r="K99" i="28" s="1"/>
  <c r="G191" i="11"/>
  <c r="F191" i="11"/>
  <c r="E191" i="11"/>
  <c r="D191" i="11"/>
  <c r="J10" i="28"/>
  <c r="J56" i="28" s="1"/>
  <c r="J99" i="28" s="1"/>
  <c r="E162" i="11"/>
  <c r="F75" i="11"/>
  <c r="H133" i="11"/>
  <c r="F133" i="11"/>
  <c r="F16" i="28"/>
  <c r="F62" i="28" s="1"/>
  <c r="F105" i="28" s="1"/>
  <c r="F148" i="28" s="1"/>
  <c r="F10" i="28"/>
  <c r="F56" i="28" s="1"/>
  <c r="F99" i="28" s="1"/>
  <c r="F142" i="28" s="1"/>
  <c r="H16" i="28"/>
  <c r="H62" i="28" s="1"/>
  <c r="H105" i="28" s="1"/>
  <c r="H148" i="28" s="1"/>
  <c r="H10" i="28"/>
  <c r="H56" i="28" s="1"/>
  <c r="H99" i="28" s="1"/>
  <c r="G104" i="11"/>
  <c r="E104" i="11"/>
  <c r="D104" i="11"/>
  <c r="E46" i="11"/>
  <c r="D46" i="11"/>
  <c r="H142" i="28" l="1"/>
  <c r="K106" i="28"/>
  <c r="K142" i="28"/>
  <c r="L106" i="28"/>
  <c r="L142" i="28"/>
  <c r="J142" i="28"/>
  <c r="E16" i="28"/>
  <c r="E62" i="28" s="1"/>
  <c r="D15" i="34"/>
  <c r="M15" i="34" s="1"/>
  <c r="E14" i="28"/>
  <c r="E60" i="28" s="1"/>
  <c r="D13" i="34"/>
  <c r="M13" i="34" s="1"/>
  <c r="E10" i="28"/>
  <c r="E56" i="28" s="1"/>
  <c r="E99" i="28" s="1"/>
  <c r="E142" i="28" s="1"/>
  <c r="D9" i="34"/>
  <c r="E15" i="28"/>
  <c r="E61" i="28" s="1"/>
  <c r="D14" i="34"/>
  <c r="M14" i="34" s="1"/>
  <c r="K63" i="28"/>
  <c r="K149" i="28" s="1"/>
  <c r="K17" i="28"/>
  <c r="L63" i="28"/>
  <c r="L149" i="28" s="1"/>
  <c r="L17" i="28"/>
  <c r="D16" i="28"/>
  <c r="N12" i="11"/>
  <c r="O184" i="11"/>
  <c r="O155" i="11"/>
  <c r="O130" i="11"/>
  <c r="O127" i="11"/>
  <c r="O9" i="11"/>
  <c r="O8" i="11"/>
  <c r="O69" i="11"/>
  <c r="D14" i="28" l="1"/>
  <c r="L44" i="12" s="1"/>
  <c r="D61" i="28"/>
  <c r="E104" i="28"/>
  <c r="D60" i="28"/>
  <c r="E103" i="28"/>
  <c r="D62" i="28"/>
  <c r="E105" i="28"/>
  <c r="D15" i="28"/>
  <c r="D105" i="28" l="1"/>
  <c r="E148" i="28"/>
  <c r="D148" i="28" s="1"/>
  <c r="D103" i="28"/>
  <c r="E146" i="28"/>
  <c r="D146" i="28" s="1"/>
  <c r="D104" i="28"/>
  <c r="E147" i="28"/>
  <c r="D147" i="28" s="1"/>
  <c r="O68" i="11" l="1"/>
  <c r="N190" i="11" l="1"/>
  <c r="N161" i="11"/>
  <c r="N74" i="11" l="1"/>
  <c r="N126" i="11"/>
  <c r="N97" i="11"/>
  <c r="N104" i="11" s="1"/>
  <c r="N155" i="11"/>
  <c r="N162" i="11" s="1"/>
  <c r="N39" i="11"/>
  <c r="N46" i="11" s="1"/>
  <c r="N14" i="11" l="1"/>
  <c r="N130" i="11"/>
  <c r="N213" i="11"/>
  <c r="N220" i="11" s="1"/>
  <c r="N184" i="11"/>
  <c r="N191" i="11" s="1"/>
  <c r="N8" i="11"/>
  <c r="N125" i="11"/>
  <c r="N67" i="11"/>
  <c r="C62" i="28" l="1"/>
  <c r="O16" i="28"/>
  <c r="P16" i="28" s="1"/>
  <c r="N13" i="11"/>
  <c r="G11" i="11" l="1"/>
  <c r="D12" i="34" s="1"/>
  <c r="D250" i="11" l="1"/>
  <c r="E13" i="28"/>
  <c r="E59" i="28" s="1"/>
  <c r="E102" i="28" s="1"/>
  <c r="N11" i="11"/>
  <c r="G7" i="11"/>
  <c r="E145" i="28" l="1"/>
  <c r="N7" i="11"/>
  <c r="D8" i="34"/>
  <c r="N239" i="11"/>
  <c r="N250" i="11" s="1"/>
  <c r="M6" i="28"/>
  <c r="M52" i="28" s="1"/>
  <c r="M95" i="28" s="1"/>
  <c r="M138" i="28" s="1"/>
  <c r="E9" i="28"/>
  <c r="E55" i="28" s="1"/>
  <c r="E98" i="28" s="1"/>
  <c r="E141" i="28" s="1"/>
  <c r="D141" i="28" s="1"/>
  <c r="D98" i="28" l="1"/>
  <c r="M106" i="28"/>
  <c r="D95" i="28"/>
  <c r="M8" i="34"/>
  <c r="D6" i="28"/>
  <c r="M17" i="28"/>
  <c r="D9" i="28"/>
  <c r="M63" i="28" l="1"/>
  <c r="M149" i="28" s="1"/>
  <c r="D52" i="28"/>
  <c r="D55" i="28"/>
  <c r="D138" i="28" l="1"/>
  <c r="C118" i="28"/>
  <c r="C161" i="28"/>
  <c r="D114" i="28" l="1"/>
  <c r="D157" i="28"/>
  <c r="D71" i="28"/>
  <c r="D108" i="28" l="1"/>
  <c r="D151" i="28"/>
  <c r="D65" i="28"/>
  <c r="D160" i="28" l="1"/>
  <c r="D74" i="28"/>
  <c r="D117" i="28"/>
  <c r="I15" i="3" l="1"/>
  <c r="I5" i="3"/>
  <c r="C103" i="28" l="1"/>
  <c r="C146" i="28"/>
  <c r="C60" i="28"/>
  <c r="O14" i="28"/>
  <c r="P14" i="28" s="1"/>
  <c r="C147" i="28"/>
  <c r="C104" i="28"/>
  <c r="C61" i="28"/>
  <c r="O15" i="28"/>
  <c r="P15" i="28" s="1"/>
  <c r="C139" i="28"/>
  <c r="C96" i="28"/>
  <c r="C53" i="28"/>
  <c r="C101" i="28" l="1"/>
  <c r="C144" i="28"/>
  <c r="C58" i="28"/>
  <c r="C97" i="28"/>
  <c r="C140" i="28"/>
  <c r="C54" i="28"/>
  <c r="C95" i="28" l="1"/>
  <c r="O6" i="28"/>
  <c r="P6" i="28" s="1"/>
  <c r="C138" i="28"/>
  <c r="C52" i="28"/>
  <c r="C143" i="28"/>
  <c r="C100" i="28"/>
  <c r="C57" i="28"/>
  <c r="C141" i="28"/>
  <c r="C98" i="28"/>
  <c r="C55" i="28"/>
  <c r="O9" i="28"/>
  <c r="C17" i="28" l="1"/>
  <c r="O35" i="28" s="1"/>
  <c r="C145" i="28"/>
  <c r="C102" i="28"/>
  <c r="C59" i="28"/>
  <c r="C99" i="28"/>
  <c r="C142" i="28"/>
  <c r="C149" i="28" s="1"/>
  <c r="C56" i="28"/>
  <c r="C63" i="28" s="1"/>
  <c r="P9" i="28"/>
  <c r="C106" i="28" l="1"/>
  <c r="D152" i="28" l="1"/>
  <c r="D161" i="28" s="1"/>
  <c r="D109" i="28"/>
  <c r="D118" i="28" s="1"/>
  <c r="D66" i="28"/>
  <c r="D75" i="28" s="1"/>
  <c r="P37" i="28"/>
  <c r="D43" i="28"/>
  <c r="I36" i="24" l="1"/>
  <c r="I10" i="16" l="1"/>
  <c r="C10" i="37" s="1"/>
  <c r="I12" i="3" l="1"/>
  <c r="I6" i="16"/>
  <c r="C6" i="37" s="1"/>
  <c r="I7" i="16"/>
  <c r="C7" i="37" s="1"/>
  <c r="C29" i="37" l="1"/>
  <c r="I10" i="3"/>
  <c r="K7" i="16"/>
  <c r="K11" i="16"/>
  <c r="K12" i="16" s="1"/>
  <c r="I8" i="3"/>
  <c r="J8" i="3" s="1"/>
  <c r="E12" i="37" l="1"/>
  <c r="K10" i="3"/>
  <c r="J15" i="3"/>
  <c r="J16" i="3" s="1"/>
  <c r="I8" i="39" l="1"/>
  <c r="I19" i="39" s="1"/>
  <c r="I25" i="39" s="1"/>
  <c r="J25" i="16" l="1"/>
  <c r="K20" i="40" s="1"/>
  <c r="D25" i="37" l="1"/>
  <c r="I12" i="41"/>
  <c r="K29" i="16" l="1"/>
  <c r="K28" i="16" l="1"/>
  <c r="J28" i="16"/>
  <c r="K26" i="16"/>
  <c r="I42" i="16"/>
  <c r="K42" i="16" s="1"/>
  <c r="I36" i="16"/>
  <c r="K36" i="16" s="1"/>
  <c r="D28" i="37" l="1"/>
  <c r="I13" i="41"/>
  <c r="I15" i="41" s="1"/>
  <c r="I20" i="41" s="1"/>
  <c r="E28" i="37"/>
  <c r="I48" i="16" l="1"/>
  <c r="I47" i="16"/>
  <c r="D68" i="11" l="1"/>
  <c r="H68" i="11" s="1"/>
  <c r="D10" i="11"/>
  <c r="G10" i="11" s="1"/>
  <c r="D6" i="11"/>
  <c r="G66" i="11"/>
  <c r="F37" i="11"/>
  <c r="D153" i="11"/>
  <c r="D66" i="11"/>
  <c r="D75" i="11" s="1"/>
  <c r="G70" i="11"/>
  <c r="G75" i="11" l="1"/>
  <c r="E12" i="28"/>
  <c r="E58" i="28" s="1"/>
  <c r="E101" i="28" s="1"/>
  <c r="E144" i="28" s="1"/>
  <c r="D11" i="34"/>
  <c r="N10" i="11"/>
  <c r="E70" i="11"/>
  <c r="H70" i="11" s="1"/>
  <c r="E69" i="11"/>
  <c r="H69" i="11" s="1"/>
  <c r="F10" i="34" s="1"/>
  <c r="D127" i="11"/>
  <c r="I127" i="11" s="1"/>
  <c r="F9" i="34"/>
  <c r="M9" i="34" s="1"/>
  <c r="G10" i="28"/>
  <c r="N68" i="11"/>
  <c r="D9" i="11"/>
  <c r="G9" i="11" s="1"/>
  <c r="E11" i="28" s="1"/>
  <c r="F95" i="11"/>
  <c r="D124" i="11"/>
  <c r="E6" i="11"/>
  <c r="E15" i="11" s="1"/>
  <c r="E124" i="11"/>
  <c r="E133" i="11" s="1"/>
  <c r="F6" i="11"/>
  <c r="F15" i="11" s="1"/>
  <c r="G124" i="11"/>
  <c r="G133" i="11" s="1"/>
  <c r="F153" i="11"/>
  <c r="D162" i="11"/>
  <c r="G37" i="11"/>
  <c r="F46" i="11"/>
  <c r="D5" i="11"/>
  <c r="E66" i="11"/>
  <c r="D10" i="34" l="1"/>
  <c r="N9" i="11"/>
  <c r="N69" i="11"/>
  <c r="G11" i="28"/>
  <c r="G57" i="28" s="1"/>
  <c r="G100" i="28" s="1"/>
  <c r="G143" i="28" s="1"/>
  <c r="D129" i="11"/>
  <c r="I129" i="11" s="1"/>
  <c r="F11" i="34"/>
  <c r="M11" i="34" s="1"/>
  <c r="G12" i="28"/>
  <c r="N70" i="11"/>
  <c r="H10" i="34"/>
  <c r="M10" i="34" s="1"/>
  <c r="I11" i="28"/>
  <c r="I57" i="28" s="1"/>
  <c r="I100" i="28" s="1"/>
  <c r="I143" i="28" s="1"/>
  <c r="N127" i="11"/>
  <c r="G56" i="28"/>
  <c r="D10" i="28"/>
  <c r="O10" i="28" s="1"/>
  <c r="P10" i="28" s="1"/>
  <c r="E57" i="28"/>
  <c r="I7" i="34"/>
  <c r="I17" i="34" s="1"/>
  <c r="F162" i="11"/>
  <c r="G162" i="11" s="1"/>
  <c r="J8" i="28"/>
  <c r="G6" i="11"/>
  <c r="I124" i="11"/>
  <c r="F104" i="11"/>
  <c r="H95" i="11"/>
  <c r="E7" i="34"/>
  <c r="E17" i="34" s="1"/>
  <c r="G46" i="11"/>
  <c r="H46" i="11" s="1"/>
  <c r="F8" i="28"/>
  <c r="G5" i="11"/>
  <c r="D15" i="11"/>
  <c r="H66" i="11"/>
  <c r="E75" i="11"/>
  <c r="D133" i="11" l="1"/>
  <c r="D11" i="28"/>
  <c r="O11" i="28" s="1"/>
  <c r="P11" i="28" s="1"/>
  <c r="E18" i="34"/>
  <c r="I18" i="34"/>
  <c r="H12" i="34"/>
  <c r="M12" i="34" s="1"/>
  <c r="I13" i="28"/>
  <c r="N129" i="11"/>
  <c r="G58" i="28"/>
  <c r="D12" i="28"/>
  <c r="O12" i="28" s="1"/>
  <c r="P12" i="28" s="1"/>
  <c r="G99" i="28"/>
  <c r="D56" i="28"/>
  <c r="E100" i="28"/>
  <c r="D57" i="28"/>
  <c r="G7" i="34"/>
  <c r="G17" i="34" s="1"/>
  <c r="H104" i="11"/>
  <c r="I104" i="11" s="1"/>
  <c r="H8" i="28"/>
  <c r="D7" i="34"/>
  <c r="E8" i="28"/>
  <c r="E54" i="28" s="1"/>
  <c r="E97" i="28" s="1"/>
  <c r="E140" i="28" s="1"/>
  <c r="N6" i="11"/>
  <c r="F54" i="28"/>
  <c r="F17" i="28"/>
  <c r="H7" i="34"/>
  <c r="I133" i="11"/>
  <c r="J133" i="11" s="1"/>
  <c r="I8" i="28"/>
  <c r="N124" i="11"/>
  <c r="N133" i="11" s="1"/>
  <c r="J54" i="28"/>
  <c r="J17" i="28"/>
  <c r="D6" i="34"/>
  <c r="E7" i="28"/>
  <c r="N5" i="11"/>
  <c r="N15" i="11" s="1"/>
  <c r="G15" i="11"/>
  <c r="H15" i="11" s="1"/>
  <c r="F7" i="34"/>
  <c r="H75" i="11"/>
  <c r="I75" i="11" s="1"/>
  <c r="G8" i="28"/>
  <c r="N66" i="11"/>
  <c r="N75" i="11" s="1"/>
  <c r="H17" i="34" l="1"/>
  <c r="H18" i="34" s="1"/>
  <c r="I59" i="28"/>
  <c r="D13" i="28"/>
  <c r="G101" i="28"/>
  <c r="D58" i="28"/>
  <c r="G142" i="28"/>
  <c r="D142" i="28" s="1"/>
  <c r="D99" i="28"/>
  <c r="E143" i="28"/>
  <c r="D143" i="28" s="1"/>
  <c r="D100" i="28"/>
  <c r="J97" i="28"/>
  <c r="J63" i="28"/>
  <c r="I54" i="28"/>
  <c r="I17" i="28"/>
  <c r="F97" i="28"/>
  <c r="F63" i="28"/>
  <c r="H54" i="28"/>
  <c r="H17" i="28"/>
  <c r="G18" i="34"/>
  <c r="E53" i="28"/>
  <c r="D7" i="28"/>
  <c r="O7" i="28" s="1"/>
  <c r="P7" i="28" s="1"/>
  <c r="E17" i="28"/>
  <c r="M6" i="34"/>
  <c r="D17" i="34"/>
  <c r="D18" i="34" s="1"/>
  <c r="G54" i="28"/>
  <c r="D8" i="28"/>
  <c r="G17" i="28"/>
  <c r="F17" i="34"/>
  <c r="F18" i="34" s="1"/>
  <c r="M7" i="34"/>
  <c r="M17" i="34" s="1"/>
  <c r="N17" i="34" s="1"/>
  <c r="I102" i="28" l="1"/>
  <c r="D59" i="28"/>
  <c r="L11" i="12"/>
  <c r="L30" i="12"/>
  <c r="O13" i="28"/>
  <c r="P13" i="28" s="1"/>
  <c r="G144" i="28"/>
  <c r="D144" i="28" s="1"/>
  <c r="D101" i="28"/>
  <c r="H97" i="28"/>
  <c r="H63" i="28"/>
  <c r="F140" i="28"/>
  <c r="F149" i="28" s="1"/>
  <c r="F106" i="28"/>
  <c r="I97" i="28"/>
  <c r="I63" i="28"/>
  <c r="J140" i="28"/>
  <c r="J149" i="28" s="1"/>
  <c r="J106" i="28"/>
  <c r="E96" i="28"/>
  <c r="D53" i="28"/>
  <c r="E63" i="28"/>
  <c r="D17" i="28"/>
  <c r="O8" i="28"/>
  <c r="G97" i="28"/>
  <c r="D54" i="28"/>
  <c r="G63" i="28"/>
  <c r="D63" i="28" l="1"/>
  <c r="D76" i="28" s="1"/>
  <c r="I145" i="28"/>
  <c r="D145" i="28" s="1"/>
  <c r="D102" i="28"/>
  <c r="I140" i="28"/>
  <c r="I106" i="28"/>
  <c r="H140" i="28"/>
  <c r="H106" i="28"/>
  <c r="I149" i="28"/>
  <c r="H149" i="28"/>
  <c r="E139" i="28"/>
  <c r="D96" i="28"/>
  <c r="E106" i="28"/>
  <c r="P8" i="28"/>
  <c r="O17" i="28"/>
  <c r="P17" i="28" s="1"/>
  <c r="G140" i="28"/>
  <c r="D140" i="28" s="1"/>
  <c r="D97" i="28"/>
  <c r="G106" i="28"/>
  <c r="D31" i="28"/>
  <c r="P35" i="28"/>
  <c r="P38" i="28"/>
  <c r="D106" i="28" l="1"/>
  <c r="D119" i="28" s="1"/>
  <c r="D139" i="28"/>
  <c r="D149" i="28" s="1"/>
  <c r="E149" i="28"/>
  <c r="I37" i="24"/>
  <c r="I38" i="24" s="1"/>
  <c r="D44" i="28"/>
  <c r="G7" i="24" s="1"/>
  <c r="G149" i="28"/>
  <c r="D162" i="28" l="1"/>
  <c r="E152" i="28"/>
  <c r="E153" i="28" s="1"/>
  <c r="J11" i="24"/>
  <c r="J12" i="24" s="1"/>
  <c r="G9" i="24" s="1"/>
  <c r="I39" i="24" s="1"/>
  <c r="I40" i="24" s="1"/>
  <c r="I42" i="24" s="1"/>
  <c r="D45" i="24" s="1"/>
  <c r="J29" i="24" s="1"/>
  <c r="J7" i="24"/>
  <c r="H10" i="24" l="1"/>
  <c r="I14" i="24" l="1"/>
  <c r="C51" i="16" l="1"/>
  <c r="C52" i="16"/>
  <c r="C34" i="16"/>
  <c r="C50" i="16"/>
  <c r="C49" i="16"/>
  <c r="C46" i="16"/>
  <c r="C44" i="16"/>
  <c r="C40" i="16"/>
  <c r="C38" i="16"/>
  <c r="C31" i="16"/>
  <c r="C45" i="16"/>
  <c r="C43" i="16"/>
  <c r="C41" i="16"/>
  <c r="C39" i="16"/>
  <c r="C37" i="16"/>
  <c r="C35" i="16"/>
  <c r="C33" i="16"/>
  <c r="C32" i="16"/>
  <c r="C30" i="16" l="1"/>
  <c r="D29" i="16" l="1"/>
  <c r="C63" i="16"/>
  <c r="D63" i="16" l="1"/>
  <c r="D64" i="16" s="1"/>
  <c r="K16" i="3" l="1"/>
  <c r="H51" i="16" l="1"/>
  <c r="I51" i="16" s="1"/>
  <c r="H52" i="16"/>
  <c r="I52" i="16" s="1"/>
  <c r="H34" i="16"/>
  <c r="I34" i="16" s="1"/>
  <c r="K34" i="16" s="1"/>
  <c r="H50" i="16"/>
  <c r="I50" i="16" s="1"/>
  <c r="H49" i="16"/>
  <c r="I49" i="16" s="1"/>
  <c r="H46" i="16"/>
  <c r="I46" i="16" s="1"/>
  <c r="H44" i="16"/>
  <c r="I44" i="16" s="1"/>
  <c r="K44" i="16" s="1"/>
  <c r="H40" i="16"/>
  <c r="I40" i="16" s="1"/>
  <c r="K40" i="16" s="1"/>
  <c r="H38" i="16"/>
  <c r="I38" i="16" s="1"/>
  <c r="K38" i="16" s="1"/>
  <c r="H31" i="16"/>
  <c r="I31" i="16" s="1"/>
  <c r="H45" i="16"/>
  <c r="I45" i="16" s="1"/>
  <c r="H43" i="16"/>
  <c r="I43" i="16" s="1"/>
  <c r="H41" i="16"/>
  <c r="I41" i="16" s="1"/>
  <c r="H39" i="16"/>
  <c r="I39" i="16" s="1"/>
  <c r="H37" i="16"/>
  <c r="I37" i="16" s="1"/>
  <c r="H35" i="16"/>
  <c r="I35" i="16" s="1"/>
  <c r="H33" i="16"/>
  <c r="I33" i="16" s="1"/>
  <c r="H32" i="16"/>
  <c r="I32" i="16" s="1"/>
  <c r="K32" i="16" s="1"/>
  <c r="H30" i="16"/>
  <c r="I30" i="16" s="1"/>
  <c r="K53" i="16" l="1"/>
  <c r="K54" i="16" s="1"/>
  <c r="K30" i="16"/>
  <c r="I63" i="16"/>
  <c r="G29" i="16"/>
  <c r="G63" i="16" l="1"/>
  <c r="J29" i="16"/>
  <c r="H26" i="16" l="1"/>
  <c r="J26" i="16" l="1"/>
  <c r="H27" i="16"/>
  <c r="J27" i="16" s="1"/>
  <c r="H63" i="16" l="1"/>
  <c r="H65" i="16" s="1"/>
  <c r="D27" i="37"/>
  <c r="I23" i="41"/>
  <c r="D26" i="37"/>
  <c r="I22" i="41"/>
  <c r="J63" i="16"/>
  <c r="D29" i="37" l="1"/>
  <c r="E29" i="37" s="1"/>
  <c r="K63" i="16"/>
  <c r="J65" i="16"/>
  <c r="I24" i="41"/>
  <c r="I25" i="41" s="1"/>
  <c r="K25" i="41" s="1"/>
  <c r="I18" i="24" l="1"/>
  <c r="I25" i="24" l="1"/>
  <c r="J18" i="24"/>
  <c r="E26" i="37"/>
  <c r="J30" i="24" l="1"/>
  <c r="I26" i="24"/>
</calcChain>
</file>

<file path=xl/sharedStrings.xml><?xml version="1.0" encoding="utf-8"?>
<sst xmlns="http://schemas.openxmlformats.org/spreadsheetml/2006/main" count="1288" uniqueCount="445">
  <si>
    <t>เทศบาลตำบลตลาดใหญ่</t>
  </si>
  <si>
    <t>ประเภททรัพย์สิน</t>
  </si>
  <si>
    <t>แหล่งที่มาของทรัพย์สิน</t>
  </si>
  <si>
    <t xml:space="preserve">ชื่อ </t>
  </si>
  <si>
    <t>จำนวนเงิน</t>
  </si>
  <si>
    <t>รวม</t>
  </si>
  <si>
    <t>ก.  อสังหาริมทรัพย์</t>
  </si>
  <si>
    <t>อาคาร</t>
  </si>
  <si>
    <t>ที่ดิน</t>
  </si>
  <si>
    <t>ข.  สังหาริมทรัพย์</t>
  </si>
  <si>
    <t>ครุภัณฑ์สำนักงาน</t>
  </si>
  <si>
    <t>ครุภัณฑ์การศึกษา</t>
  </si>
  <si>
    <t>ครุภัณฑ์ยานพาหนะและขนส่ง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</si>
  <si>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</si>
  <si>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</si>
  <si>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</si>
  <si>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ครุภัณฑ์โฆษณาและเผยแพร่</t>
  </si>
  <si>
    <t>ครุภัณฑ์วิทยาศาสตร์หรือการแพทย์</t>
  </si>
  <si>
    <t>ครุภัณฑ์งานบ้านงานครัว</t>
  </si>
  <si>
    <t>ครุภัณฑ์เครื่องดับเพลิง</t>
  </si>
  <si>
    <t>ครุภัณฑ์กีฬา</t>
  </si>
  <si>
    <t>ครุภัณฑ์สำรวจ</t>
  </si>
  <si>
    <t>ครุภัณฑ์คอมพิวเตอร์</t>
  </si>
  <si>
    <t>ครุภัณฑ์อื่น</t>
  </si>
  <si>
    <t>ค่าบำรุงรักษาและปรับปรุงครุภัณฑ์</t>
  </si>
  <si>
    <t xml:space="preserve">เงินสด </t>
  </si>
  <si>
    <t>เงินฝากธนาคาร</t>
  </si>
  <si>
    <t>ประเภทประจำ</t>
  </si>
  <si>
    <t>ประเภทออมทรัพย์</t>
  </si>
  <si>
    <t>ประเภทกระแสรายวัน</t>
  </si>
  <si>
    <t>ภาษีหัก ณ ที่จ่าย</t>
  </si>
  <si>
    <t>ค่าใช้จ่ายในการจัดเก็บภาษีบำรุงท้องที่ 5%</t>
  </si>
  <si>
    <t>ประกันสัญญา</t>
  </si>
  <si>
    <t>เงินอุดหนุนทั่วไปเพื่อส่งเสริมอาชีพ</t>
  </si>
  <si>
    <t>รายจ่ายค้างจ่าย</t>
  </si>
  <si>
    <t>ก่อหนี้ผูกพัน</t>
  </si>
  <si>
    <t>เบิกจ่ายแล้ว</t>
  </si>
  <si>
    <t>คงเหลือ</t>
  </si>
  <si>
    <t>หมายเหตุ</t>
  </si>
  <si>
    <t>ค่าวัสดุ</t>
  </si>
  <si>
    <t>ค่าตอบแทน</t>
  </si>
  <si>
    <t>บวก</t>
  </si>
  <si>
    <t>รับจริงสูงกว่าจ่ายจริง</t>
  </si>
  <si>
    <t>จ่ายขาดเงินสะสม</t>
  </si>
  <si>
    <t>เงินทุนสำรองเงินสะสม</t>
  </si>
  <si>
    <t>ลูกหนี้เงินยืมเงินสะสม</t>
  </si>
  <si>
    <t>จำนวนเงินที่ได้รับอนุมัติ</t>
  </si>
  <si>
    <t>ค่าใช้สอย</t>
  </si>
  <si>
    <t>งานบริหารทั่วไป</t>
  </si>
  <si>
    <t>งานบริหารงานคลัง</t>
  </si>
  <si>
    <t>งานศึกษาไม่กำหนดระดับ</t>
  </si>
  <si>
    <t>งานไฟฟ้าถนน</t>
  </si>
  <si>
    <t>งานกีฬาและนันทนาการ</t>
  </si>
  <si>
    <t>งานส่งเสริมการเกษตร</t>
  </si>
  <si>
    <t>งบกลาง</t>
  </si>
  <si>
    <t>งบแสดงผลการดำเนินงานจ่ายจากเงินรายรับ</t>
  </si>
  <si>
    <t>ประมาณการ</t>
  </si>
  <si>
    <t>บริหารงานทั่วไป</t>
  </si>
  <si>
    <t>การศึกษา</t>
  </si>
  <si>
    <t>เคหะและชุมชน</t>
  </si>
  <si>
    <t>รายการ</t>
  </si>
  <si>
    <t>รักษาความสงบภายใน</t>
  </si>
  <si>
    <t>สาธารณสุข</t>
  </si>
  <si>
    <t>สร้างความเข้มแข็งของชุมชน</t>
  </si>
  <si>
    <t>การศาสนา วัฒนธรรมและนันทนาการ</t>
  </si>
  <si>
    <t>การเกษตร</t>
  </si>
  <si>
    <t>รายจ่าย</t>
  </si>
  <si>
    <t>เงินเดือน (ฝ่ายการเมือง)</t>
  </si>
  <si>
    <t>เงินเดือน (ฝ่ายประจำ)</t>
  </si>
  <si>
    <t>ค่าสาธารณูปโภค</t>
  </si>
  <si>
    <t>ค่าที่ดินและสิ่งก่อสร้าง (หมายเหตุ 2)</t>
  </si>
  <si>
    <t>ค่าครุภัณฑ์ (หมายเหตุ 1)</t>
  </si>
  <si>
    <t>รายรับ</t>
  </si>
  <si>
    <t>ภาษีอากร</t>
  </si>
  <si>
    <t>รายได้เบ็ดเตล็ด</t>
  </si>
  <si>
    <t>รายได้จากทุน</t>
  </si>
  <si>
    <t>รัฐบาลจัดสรรให้</t>
  </si>
  <si>
    <t>อุดหนุนทั่วไป</t>
  </si>
  <si>
    <t>อุดหนุนเฉพาะกิจ</t>
  </si>
  <si>
    <t>รายจ่ายอื่น</t>
  </si>
  <si>
    <t>เงินอุดหนุน</t>
  </si>
  <si>
    <t>รายได้จากทรัพย์สิน</t>
  </si>
  <si>
    <t>รายได้จากสาธารณูปโภคและการพาณิชย์</t>
  </si>
  <si>
    <t>รวมรายรับ</t>
  </si>
  <si>
    <t>รายรับสูงกว่าหรือ (ต่ำกว่า) รายจ่าย</t>
  </si>
  <si>
    <t>งบแสดงผลการดำเนินงานจ่ายจากเงินรายรับและเงินสะสม</t>
  </si>
  <si>
    <t xml:space="preserve">ค่าครุภัณฑ์ </t>
  </si>
  <si>
    <t xml:space="preserve">ค่าที่ดินและสิ่งก่อสร้าง </t>
  </si>
  <si>
    <t>รายงานรายจ่ายในการดำเนินงานที่จ่ายจากเงินรายรับตามแผนงานรวม</t>
  </si>
  <si>
    <t>รายงานรายจ่ายในการดำเนินงานที่จ่ายจากเงินรายรับตามแผนงาน งานบริหารทั่วไป</t>
  </si>
  <si>
    <t>งานวางแผนสถิติและวิชาการ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</si>
  <si>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</si>
  <si>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งานเทศกิจ</t>
  </si>
  <si>
    <t>รายงานรายจ่ายในการดำเนินงานที่จ่ายจากเงินรายรับตามแผนงาน การศึกษา</t>
  </si>
  <si>
    <t>งานระดับมัธยมศึกษา</t>
  </si>
  <si>
    <t>บริหารทั่วไปฯ</t>
  </si>
  <si>
    <t>งานป้องกันภัยฝ่ายพลเรือนฯ</t>
  </si>
  <si>
    <t>งานระดับก่อนวัยเรียนฯ</t>
  </si>
  <si>
    <t>งานบริหารทั่วไปฯ</t>
  </si>
  <si>
    <t>รายงานรายจ่ายในการดำเนินงานที่จ่ายจากเงินรายรับตามแผนงาน สาธารณสุข</t>
  </si>
  <si>
    <t>งานโรงพยาบาล</t>
  </si>
  <si>
    <t>งานบริการสาธารณสุขฯ</t>
  </si>
  <si>
    <t>งานศูนย์บริการสาธารณสุข</t>
  </si>
  <si>
    <t>งานสวนสาธารณะ</t>
  </si>
  <si>
    <t>งานกำจัดขยะฯ</t>
  </si>
  <si>
    <t>งานบำบัดน้ำเสีย</t>
  </si>
  <si>
    <t>งานส่งเสริมและสนับสนุนฯ</t>
  </si>
  <si>
    <t>รายงานรายจ่ายในการดำเนินงานที่จ่ายจากเงินรายรับตามแผนงาน เคหะและชุมชน</t>
  </si>
  <si>
    <t>รายงานรายจ่ายในการดำเนินงานที่จ่ายจากเงินรายรับตามแผนงาน สร้างความเข้มแข็งของชุมชน</t>
  </si>
  <si>
    <t>รายงานรายจ่ายในการดำเนินงานที่จ่ายจากเงินรายรับตามแผนงาน การศาสนา วัฒนธรรมและนันทนาการ</t>
  </si>
  <si>
    <t>งานศาสนาและวัฒนธรรมฯ</t>
  </si>
  <si>
    <t>งานวิชาการ วางแผนฯ</t>
  </si>
  <si>
    <t>รายงานรายจ่ายในการดำเนินงานที่จ่ายจากเงินรายรับตามแผนงาน การเกษตร</t>
  </si>
  <si>
    <t>งานอนุรักษ์แหล่งน้ำและป่าไม้</t>
  </si>
  <si>
    <t>25% ของรับจริงสูงกว่าจ่ายจริง</t>
  </si>
  <si>
    <t>หมายเหตุ  ประกอบงบแสดงผลการดำเนินงาน</t>
  </si>
  <si>
    <t>งบทดลอง (หลังปิดบัญชี)</t>
  </si>
  <si>
    <t>รหัสบัญชี</t>
  </si>
  <si>
    <t>เดบิท</t>
  </si>
  <si>
    <t>เครดิต</t>
  </si>
  <si>
    <t>ลูกหนี้ภาษีบำรุงท้องที่</t>
  </si>
  <si>
    <t>เงินสด</t>
  </si>
  <si>
    <t>เงินฝากธนาคาร ธกส. # 491-2-51027-5 (2)</t>
  </si>
  <si>
    <t>เงินฝากธนาคารกรุงไทย # 553-0-07177-5</t>
  </si>
  <si>
    <t>ลูกหนี้เงินยืมเงินงบประมาณ</t>
  </si>
  <si>
    <t>ค่าครุภัณฑ์</t>
  </si>
  <si>
    <t>ค่าที่ดิน และสิ่งก่อสร้าง</t>
  </si>
  <si>
    <t>เงินสะสม</t>
  </si>
  <si>
    <t>400000</t>
  </si>
  <si>
    <t>เงินรับฝาก  (หมายเหตุ 2)</t>
  </si>
  <si>
    <t xml:space="preserve"> </t>
  </si>
  <si>
    <t>รายงานรายจ่ายในการดำเนินงานที่จ่ายจากเงินรายรับตามแผนงาน งบกลาง</t>
  </si>
  <si>
    <t>รายรับจริงทั้งสิ้น</t>
  </si>
  <si>
    <t>1.</t>
  </si>
  <si>
    <t>2.</t>
  </si>
  <si>
    <t>หัก รายจ่ายจริงทั้งสิ้น</t>
  </si>
  <si>
    <t>คงเหลือเงินสะสม ก่อนหัก ทุนสำรองเงินสะสม 25%</t>
  </si>
  <si>
    <t>หัก ทุนสำรองเงินสะสม 25%</t>
  </si>
  <si>
    <t>คงเหลือเงินสะสม หลังหัก ทุนสำรองเงินสะสม 25%</t>
  </si>
  <si>
    <t>3.</t>
  </si>
  <si>
    <t>หัก ลูกหนี้ที่เกิดจากรายได้ค้างชำระประจำปี</t>
  </si>
  <si>
    <t>คงเหลือเงินสะสม หลังหัก ทุนสำรองเงินสะสม 25% ลูกหนี้ที่เกิดจากรายได้ค้างชำระประจำปี</t>
  </si>
  <si>
    <t>ดังนั้น เงินที่ต้องส่งฝากสมทบทุน ก.ส.ท.10% = เงินสะสม หลังหัก</t>
  </si>
  <si>
    <t>ทุนสำรองเงินสะสม 25% และลูกหนี้ที่เกิดจากรายได้ค้างชำระประจำปี</t>
  </si>
  <si>
    <t>คูณ 10% เป็นเงิน =</t>
  </si>
  <si>
    <t>ธนาคารเพื่อการเกษตรและสหกรณ์การเกษตร สาขาดอยสะเก็ด</t>
  </si>
  <si>
    <t>ธนาคารกรุงไทย จำกัด (มหาชน) สาขาบ่อสร้าง</t>
  </si>
  <si>
    <t>(เลขที่บัญชี 491-2-51027-5)</t>
  </si>
  <si>
    <t>(เลขที่บัญชี 553-0-07177-5)</t>
  </si>
  <si>
    <t>(เลขที่บัญชี 553-6-00220-1)</t>
  </si>
  <si>
    <t>(เลขที่บัญชี 553-2-01621-6)</t>
  </si>
  <si>
    <t>เงินฝากธนาคารกรุงไทย # 553-2-01621-6 ประจำ</t>
  </si>
  <si>
    <t>เงินฝากธนาคารกรุงไทย # 553-6-00220-1 (บ่อสร้าง)</t>
  </si>
  <si>
    <t>เงินฝาก กสท.</t>
  </si>
  <si>
    <t>ทุนสำรองเงินสะสม</t>
  </si>
  <si>
    <t>กระดาษทำการ</t>
  </si>
  <si>
    <t>ก่อนปิดบัญชี</t>
  </si>
  <si>
    <t>ใบผ่านรายการบัญชีทั่วไป</t>
  </si>
  <si>
    <t>ใบผ่านรายการบัญชีมาตรฐาน</t>
  </si>
  <si>
    <t>ค่าธรรมเนียม ค่าปรับและใบอนุญาต</t>
  </si>
  <si>
    <t>(ไม่รวมเงินอุดหนุนเฉพาะกิจ)</t>
  </si>
  <si>
    <t xml:space="preserve">เทศบาลตำบลตลาดใหญ่ อำเภอดอยสะเก็ด จังหวัดเชียงใหม่ </t>
  </si>
  <si>
    <t>(การคำนวณที่ถูกต้อง)</t>
  </si>
  <si>
    <t>ลูกหนี้อื่น ๆ</t>
  </si>
  <si>
    <t>จ่ายจริงไม่รวมกิจ</t>
  </si>
  <si>
    <t>รับจริงไม่รวมกิจ</t>
  </si>
  <si>
    <t>(เลขที่บัญชี 553-6-00368-2)</t>
  </si>
  <si>
    <t xml:space="preserve">รายงานรายจ่ายในการดำเนินงานที่จ่ายจากเงินสะสม </t>
  </si>
  <si>
    <t>เงินอุดหนุนเฉพาะกิจ</t>
  </si>
  <si>
    <t>รวมทั้งสิ้น</t>
  </si>
  <si>
    <t>หลังปิดบัญชี</t>
  </si>
  <si>
    <t>รายจ่ายผัดส่งใบสำคัญ</t>
  </si>
  <si>
    <t>210200</t>
  </si>
  <si>
    <t>ลูกหนี้ภาษีโรงเรือนและที่ดิน</t>
  </si>
  <si>
    <t xml:space="preserve">งบแสดงฐานะการเงิน </t>
  </si>
  <si>
    <t>เฉพาะลูกหนี้ที่ตั้งเพิ่มประจำปี</t>
  </si>
  <si>
    <t>ประกันสังคม</t>
  </si>
  <si>
    <t xml:space="preserve">ค่าใช้จ่ายอื่น ๆ </t>
  </si>
  <si>
    <t>ชดใช้ค่าความเสียหาย</t>
  </si>
  <si>
    <t>อุดหนุนทั่วไปตามยุทธศาสตร์พัฒนาประเทศ</t>
  </si>
  <si>
    <t>จ่ายจากเงินอุดหนุนเฉพาะกิจ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</si>
  <si>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</si>
  <si>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</si>
  <si>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</si>
  <si>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</si>
  <si>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เงินฝาก ก.ส.ท.</t>
  </si>
  <si>
    <t>เงินฝาก ก.ส.อ.</t>
  </si>
  <si>
    <t>ลูกหนี้เงินยืม</t>
  </si>
  <si>
    <t>รายได้จากรัฐบาลค้างรับ</t>
  </si>
  <si>
    <t>ลูกหนี้ค่าภาษี</t>
  </si>
  <si>
    <t xml:space="preserve">ลูกหนี้รายได้อื่น ๆ </t>
  </si>
  <si>
    <t>ลูกหนี้เงินทุนโครงการเศรษฐกิจชุมชน</t>
  </si>
  <si>
    <t>สินทรัพย์หมุนเวียนอื่น</t>
  </si>
  <si>
    <t>รวมสินทรัยพย์หมุนเวียน</t>
  </si>
  <si>
    <t>สินทรัพย์ไม่หมุนเวียน</t>
  </si>
  <si>
    <t>หุ้นในโรงพิมพ์อาสารักษาดินแดน</t>
  </si>
  <si>
    <t>ทรัพย์สินเกิดจากการเงินกู้</t>
  </si>
  <si>
    <t>สินทรัพย์ไม่หมุนเวียนอื่น</t>
  </si>
  <si>
    <t>รวมสินทรัยพย์ไม่หมุนเวียน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</si>
  <si>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</si>
  <si>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</si>
  <si>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</si>
  <si>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</si>
  <si>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>หนี้สินหมุนเวียน</t>
  </si>
  <si>
    <t>ฎีกาค้างจ่าย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</si>
  <si>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</si>
  <si>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</si>
  <si>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</si>
  <si>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</si>
  <si>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</si>
  <si>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</si>
  <si>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</si>
  <si>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รวมหนี้สิน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</si>
  <si>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</si>
  <si>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</si>
  <si>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</si>
  <si>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หมายเหตุ 2 งบทรัพย์สิน</t>
  </si>
  <si>
    <t>รายได้ทาง ทต.</t>
  </si>
  <si>
    <t>เงินอุดหนุนจากรัฐบาล</t>
  </si>
  <si>
    <t>เงินบริจาค</t>
  </si>
  <si>
    <t>สำรองเงินรายรับ</t>
  </si>
  <si>
    <t>ราคาทรัพย์สิน</t>
  </si>
  <si>
    <t xml:space="preserve">        ทรัพย์สินที่แสดงตามงบทรัพย์สินเป็นกรรมสิทธิ์ขององค์กรปกครองส่วนท้องถิ่นและองค์กรปกครองส่วนท้องถิ่นใช้ประโยชน์โดยตรง รวมทั้งทรัพย์สิน</t>
  </si>
  <si>
    <t>ที่ให้ยืมหรือเช่า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</si>
  <si>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หมายเหตุ 3 เงินสดและเงินฝากธนาคาร</t>
  </si>
  <si>
    <t>หมายเหตุ 5 ลูกหนี้ค่าภาษี</t>
  </si>
  <si>
    <t>ประเภทลูกหนี้</t>
  </si>
  <si>
    <t>ประจำปี</t>
  </si>
  <si>
    <t>จำนวน</t>
  </si>
  <si>
    <t>หมายเหตุ 10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</si>
  <si>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</si>
  <si>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</si>
  <si>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</si>
  <si>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</si>
  <si>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</si>
  <si>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</si>
  <si>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11 ฎีกาค้างจ่าย</t>
  </si>
  <si>
    <t>เลขที่ผู้เบิก</t>
  </si>
  <si>
    <t>หมายเหตุ 12 เงินรับฝาก</t>
  </si>
  <si>
    <t>หมายเหตุ 16 เงินสะสม</t>
  </si>
  <si>
    <t>หัก</t>
  </si>
  <si>
    <t>(เงินทุนสำรองเงินสะสม)</t>
  </si>
  <si>
    <t>รับจริงสูงกว่าจ่ายจริงหลังหักเงินทุนสำรองเงินสะสม</t>
  </si>
  <si>
    <t>1.  หุ้นในโรงพิมพ์อาสารักษาดินแดน</t>
  </si>
  <si>
    <t>2.  เงินฝาก ก.ส.อ. หรือ ก.ส.ท.</t>
  </si>
  <si>
    <t>3.  ลูกหนี้ค่าภาษี</t>
  </si>
  <si>
    <t>5.  เงินสะสมที่นำไปใช้ได้</t>
  </si>
  <si>
    <t>รายละเอียดแนบท้ายหมายเหตุ 16 เงินสะสม</t>
  </si>
  <si>
    <t>ยังไม่ได้ก่อหนี้ผูกพัน</t>
  </si>
  <si>
    <t>หมายเหตุ 17 เงินทุนสำรองเงินสะสม</t>
  </si>
  <si>
    <t>งบ</t>
  </si>
  <si>
    <t>งบบุคลากร</t>
  </si>
  <si>
    <t>งบดำเนินการ</t>
  </si>
  <si>
    <t>งบลงทุน</t>
  </si>
  <si>
    <t>งบรายจ่ายอื่น</t>
  </si>
  <si>
    <t>งบเงินอุดหนุน</t>
  </si>
  <si>
    <t>เงินงบประมาณ</t>
  </si>
  <si>
    <t xml:space="preserve">รายงานรายจ่ายในการดำเนินงานที่จ่ายจากเงินทุนสำรองเงินสะสม </t>
  </si>
  <si>
    <t>รายงานรายจ่ายในการดำเนินงานที่จ่ายจากเงินกู้</t>
  </si>
  <si>
    <t>งบแสดงผลการดำเนินงานจ่ายจากเงินรายรับ เงินสะสม 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</si>
  <si>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 และเงินกู้</t>
  </si>
  <si>
    <t>เงินอุดหนุนเฉพาะกิจและเงินอุดหนุนทั่วไปตามยุทธศาสตร์พัฒนาประเทศ</t>
  </si>
  <si>
    <t>111100</t>
  </si>
  <si>
    <t>111201-2</t>
  </si>
  <si>
    <t>111201-5</t>
  </si>
  <si>
    <t>111202-1</t>
  </si>
  <si>
    <t>111203-3</t>
  </si>
  <si>
    <t>เงินฝากธนาคารกรุงไทย # 553-0-24403-3 (สปสช.)</t>
  </si>
  <si>
    <t>เงินฝากธนาคารกรุงไทย # 553-6-00514-6 (บัญชีคู่ สปสช.)</t>
  </si>
  <si>
    <t>113302</t>
  </si>
  <si>
    <t>113100</t>
  </si>
  <si>
    <t>113700</t>
  </si>
  <si>
    <t>113600</t>
  </si>
  <si>
    <t>112002</t>
  </si>
  <si>
    <t>212000</t>
  </si>
  <si>
    <t>215000</t>
  </si>
  <si>
    <t>310000</t>
  </si>
  <si>
    <t>5100000</t>
  </si>
  <si>
    <t>5210000</t>
  </si>
  <si>
    <t>5220000</t>
  </si>
  <si>
    <t>5310000</t>
  </si>
  <si>
    <t>5320000</t>
  </si>
  <si>
    <t>5330000</t>
  </si>
  <si>
    <t>5340000</t>
  </si>
  <si>
    <t>(เลขที่บัญชี 553-0-24403-3)</t>
  </si>
  <si>
    <t>(เลขที่บัญชี 553-0-00514-6)</t>
  </si>
  <si>
    <t>ประกันซอง</t>
  </si>
  <si>
    <t>ค่าบริการทางการแพทย์ (สปสช.)</t>
  </si>
  <si>
    <t>รายจ่ายค้างจ่าย (หมายเหตุ 3)</t>
  </si>
  <si>
    <t>210403</t>
  </si>
  <si>
    <t>(นางทิพวรรณ  ปัญญา)</t>
  </si>
  <si>
    <t>(ลงชื่อ).............................................................ผู้อำนวยการ/หัวหน้าส่วนการคลัง</t>
  </si>
  <si>
    <t>213000</t>
  </si>
  <si>
    <t>113500</t>
  </si>
  <si>
    <t>ฎีกาค้างจ่าย (หมายเหตุ 3)</t>
  </si>
  <si>
    <t>ข้อมูลทั่วไป</t>
  </si>
  <si>
    <t>ทิศเหนือ</t>
  </si>
  <si>
    <t>ติดกับ</t>
  </si>
  <si>
    <t>ตำบลสง่าบ้าน</t>
  </si>
  <si>
    <t>อำเภอดอยสะเก็ด</t>
  </si>
  <si>
    <t>ทิศตะวันออก</t>
  </si>
  <si>
    <t>ทิศใต้</t>
  </si>
  <si>
    <t>ทิศตะวันตก</t>
  </si>
  <si>
    <t>ตำบลแม่ฮ้อยเงิน</t>
  </si>
  <si>
    <t>อำเภอดอยสะเก็ด กับ</t>
  </si>
  <si>
    <t>อำเภอสันกำแพง</t>
  </si>
  <si>
    <t>ตำบลแม่คือ</t>
  </si>
  <si>
    <t>ตำบลแม่ปูคา</t>
  </si>
  <si>
    <t>ตำบลสำราญราษฎร์</t>
  </si>
  <si>
    <t>เทศบาลตำบลตลาดใหญ่ แบ่งเขตการปกครองออกเป็น 5 หมู่บ้าน ได้แก่</t>
  </si>
  <si>
    <t>หมู่ที่ 1</t>
  </si>
  <si>
    <t>หมู่ที่ 2</t>
  </si>
  <si>
    <t>หมู่ที่ 3</t>
  </si>
  <si>
    <t>หมู่ที่ 4</t>
  </si>
  <si>
    <t>หมู่ที่ 5</t>
  </si>
  <si>
    <t>บ้านแม่ก๊ะเหนือ</t>
  </si>
  <si>
    <t>บ้านแม่ก๊ะตลาด</t>
  </si>
  <si>
    <t>บ้านแม่ก๊ะใต้</t>
  </si>
  <si>
    <t>บ้านแม่จ้องใต้</t>
  </si>
  <si>
    <t>บ้านแม่จ้องเหนือ</t>
  </si>
  <si>
    <t>เทศบาลตำบลตลาดใหญ่ ยกฐานะเป็นเทศบาลตำบลเมื่อวันที่ 27 ตุลาคม 2552 ตั้งอยู่ทางทิศใต้ของอำเภอดอยสะเก็ด</t>
  </si>
  <si>
    <t>ห่างจากที่ว่าการอำเภอดอยสะเก็ด ประมาณ 7.4 กิโลเมตร ตามเส้นทางทางหลวงหมายเลข 1014 (ถนนดอยสะเก็ด-บ่อสร้าง)</t>
  </si>
  <si>
    <t>มีพื้นที่ประมาณ 6.490 ตารางกิโลเมตร หรือประมาณ 4,056.25 ไร่ มีอาณาเขตติดต่อดังนี้</t>
  </si>
  <si>
    <t xml:space="preserve">หมายเหตุ 1 </t>
  </si>
  <si>
    <t>สรุปนโยบายการบัญชีที่สำคัญ</t>
  </si>
  <si>
    <t>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</si>
  <si>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 ตามประกาศ</t>
  </si>
  <si>
    <t>กระทรวงมหาดไทย เรื่อง หลักเกณฑ์และวิธีปฏิบัติการบันทึกบัญชี การจัดทำทะเบียน และรายงานการเงินขององค์กรปกครอง</t>
  </si>
  <si>
    <t>ส่วนท้องถิ่น เมื่อวันที่ 20 มีนาคม พ.ศ.2558 และหนังสือสั่งการที่เกี่ยวข้อง</t>
  </si>
  <si>
    <t>เงินฝากธนาคารกรุงไทย # 553-6-00368-2 (บัญชีคู่ 7177-5)</t>
  </si>
  <si>
    <t>=</t>
  </si>
  <si>
    <t>โครงการก่อสร้างระบบประปาหมู่บ้านแบบบาดาลขนาดใหญ่ ม.5</t>
  </si>
  <si>
    <t xml:space="preserve">เทศบาลตำบลตลาดใหญ่ได้รับจัดสรรเงินอุดหนุนเฉพาะกิจ ประเภทที่ดินและสิ่งก่อสร้าง </t>
  </si>
  <si>
    <t>บาท</t>
  </si>
  <si>
    <r>
      <t xml:space="preserve">4.  </t>
    </r>
    <r>
      <rPr>
        <sz val="14"/>
        <color theme="1"/>
        <rFont val="TH Niramit AS"/>
      </rPr>
      <t>ทรัพย์สินเกิดจากเงินกู้ที่ชำระหนี้แล้ว (ผลต่างระหว่างทรัพย์สินที่เกิดจากเงินกู้และเจ้าหนี้เงินกู้)</t>
    </r>
  </si>
  <si>
    <t>ลูกหนี้เงินสะสม</t>
  </si>
  <si>
    <t>เจ้าหนี้เงินสะสม</t>
  </si>
  <si>
    <t>111201-6</t>
  </si>
  <si>
    <t>111203-4</t>
  </si>
  <si>
    <t>111203-5</t>
  </si>
  <si>
    <t>190004</t>
  </si>
  <si>
    <t>290001</t>
  </si>
  <si>
    <t>ลูกหนี้เงินเงินสะสม</t>
  </si>
  <si>
    <t>วัสดุสำนักงาน</t>
  </si>
  <si>
    <t>วัสดุไฟฟ้าและวิทยุ</t>
  </si>
  <si>
    <t>วัสดุคอมพิวเตอร์</t>
  </si>
  <si>
    <t xml:space="preserve">วัสดุอื่น </t>
  </si>
  <si>
    <t>ถนน</t>
  </si>
  <si>
    <t>หมายเหตุ 4 รายได้จากรัฐบาลค้างรับ</t>
  </si>
  <si>
    <t>เงินอุดหนุนระบุวัตถุประสงค์สำหรับสนับสนุนการสงเคราะห์เบี้ยยังชีพผู้สูงอายุ</t>
  </si>
  <si>
    <t>หมายเหตุ 13 หนี้สินหมุนเวียนอื่น</t>
  </si>
  <si>
    <t>สำหรับปี สิ้นสุดวันที่ 29 กันยายน 2560</t>
  </si>
  <si>
    <t>ตั้งแต่วันที่   29  เดือน กันยายน พ.ศ. 2560</t>
  </si>
  <si>
    <t>รายจ่ายค้างจ่ายระหว่างดำเนินการ (หมายเหตุ 3)</t>
  </si>
  <si>
    <t>เฉพาะกิจ</t>
  </si>
  <si>
    <t>เงินสะสม 1 ตุลาคม 2559</t>
  </si>
  <si>
    <t>ค่าตอบแทนในการหักเงินสหกรณ์ออมทรัพย์ข้าราชการกระทรวงศึกษาธิการเชียงใหม่ จำกัด</t>
  </si>
  <si>
    <t>เงินปันผลและเงินเฉลี่ยคืนสหกรณ์ออมทรัพย์พนักงานเทศบาล จำกัด</t>
  </si>
  <si>
    <t>เงินค่าตอบแทนเจ้าหน้าที่ตัวแทนสหกรณ์ออมทรัพย์พนักงานเทศบาล จำกัด</t>
  </si>
  <si>
    <t>เงินรอคืนจังหวัด</t>
  </si>
  <si>
    <t>ค่าสนับสนุนปฏิบัติการฉุกเฉิน</t>
  </si>
  <si>
    <t>รายจ่ายค้างจ่ายระหว่างดำเนินการ</t>
  </si>
  <si>
    <t>-  เครื่องตัดหญ้า แบบข้อแข็ง</t>
  </si>
  <si>
    <t>-  เก้าอี้นั่งมีพนักพิง</t>
  </si>
  <si>
    <t>-  เครื่องคอมพิวเตอร์โน้ตบุ๊ก</t>
  </si>
  <si>
    <t>-  หม้อแปลงไฟฟ้า</t>
  </si>
  <si>
    <t>-  โครงการก่อสร้างพนังกั้นตลิ่งพร้อมราวกันตก ม.2</t>
  </si>
  <si>
    <t>-  โครงการก่อสร้างรางระบายน้ำคอนกรีตเสริมเหล็ก ซ.1 ม.3</t>
  </si>
  <si>
    <t>-  โครงการก่อสร้างถนน คสล. ม.4</t>
  </si>
  <si>
    <t>-  โครงการปรับปรุงผิวถนนโดยการลงแอสฟัลท์ติกคอนกรีต ม.4</t>
  </si>
  <si>
    <t>-  โครงการปรับปรุงถนนโดยการแอสฟัลท์ติกคอนกรีต ซ.13 ม.5</t>
  </si>
  <si>
    <t>-  โครงการก่อสร้างถนน คสล. ซ.14 ม.5</t>
  </si>
  <si>
    <t>-  โครงการปรับปรุงผิวถนนโดยการลงแอสฟัลท์ติกคอนกรีต ม.5</t>
  </si>
  <si>
    <t>-  โครงการขยายเขตไฟฟ้าแรงดันต่ำบริเวณซอยบ้านเด่น-หน้าวัดพรหมจริยาราม ม.2</t>
  </si>
  <si>
    <t>-  โครงการขยายเขตไฟฟ้าสาธารณะพร้อมติดตั้งไฟกิ่งสาธารณะ ม.3</t>
  </si>
  <si>
    <t>-  โทรทัศน์แอลอีดี</t>
  </si>
  <si>
    <t>-  เครื่องคอมพิวเตอร์</t>
  </si>
  <si>
    <t>-  โครงการก่อสร้างระบบประปาหมู่บ้านบาดาลขนาดใหญ่ ม.5</t>
  </si>
  <si>
    <t>-  เครื่องพิมพ์คอมพิวเตอร์แบบฉีดหมืกพร้อมติดตั้งถังหมึกพิมพ์</t>
  </si>
  <si>
    <t>-  เครื่องพิมพ์ชนิดเลเซอร์หรือชนิดแอลอีดี ขาวดำ ชนิด Network</t>
  </si>
  <si>
    <t>-  เครื่องทำน้ำเย็น จำนวน 2 เครื่อง</t>
  </si>
  <si>
    <t>-  กาต้มน้ำไฟฟ้า จำนวน 2 ถัง</t>
  </si>
  <si>
    <t>-  เก้าอี้ทำงาน 5 ล้อ จำนวน 2 ตัว</t>
  </si>
  <si>
    <t>-  ตู้เก็บเอกสารบานทึบ จำนวน 2 ตู้</t>
  </si>
  <si>
    <t>-  เครื่องตัดหญ้าแบบล้อจักรยาน</t>
  </si>
  <si>
    <t>-  เต้นท์พร้อมโครงเหล็ก</t>
  </si>
  <si>
    <t>จ่ายจากเงินทุนสำรองเงินสะสม</t>
  </si>
  <si>
    <t>-  โครงการเปลี่ยนท่อเมนจ่ายน้ำประปา ม.4</t>
  </si>
  <si>
    <t>-  กล้องถ่ายภาพนิ่ง ดิจิตอล</t>
  </si>
  <si>
    <t>ณ วันที่ 29 กันยายน 2560</t>
  </si>
  <si>
    <t>ค่าที่ดินและสิ่งก่อสร้าง</t>
  </si>
  <si>
    <t>ค่าก่อสร้างสิ่งสาธารณูปโภค</t>
  </si>
  <si>
    <t>โครงการเปลี่ยนท่อเมนจ่ายน้ำประปา ม.4</t>
  </si>
  <si>
    <t>เงินรับฝากอื่น ๆ-ค่าบริการทางการแพทย์</t>
  </si>
  <si>
    <t>รับคืนเงินปี 60</t>
  </si>
  <si>
    <t>ปรับปรุงลูกหนี้ภาษีบำรุงท้องที่</t>
  </si>
  <si>
    <t>ปรับปรุงรายได้จากรัฐบาลค้างรับ</t>
  </si>
  <si>
    <t>แบบการคำนวณเงินฝากสมทบเงินทุนส่งเสริมกิจการเทศบาลประจำปี 2560</t>
  </si>
  <si>
    <t>เงินสะสม 29 กันยายน 2560</t>
  </si>
  <si>
    <t>ตั้งแต่วันที่ 1 ตุลาคม 2559 ถึง 29 กันยายน 2560</t>
  </si>
  <si>
    <t>เงินสะสม 29 กันยายน 2560 ประกอบด้วย</t>
  </si>
  <si>
    <t>นำส่งคืนกรมส่งเสริมการปกครองส่วนท้องถิ่น</t>
  </si>
  <si>
    <t>แผนงานเคหะและชุมชน</t>
  </si>
  <si>
    <t>งานกำจัดขยะมูลฝอยและสิ่งปฏิกูล</t>
  </si>
  <si>
    <t>แผนงานสาธารณสุข</t>
  </si>
  <si>
    <t>งานบริการสาธารณสุข และงานสาธารณสุขอื่น</t>
  </si>
  <si>
    <t>แผนงานบริหารทั่วไป</t>
  </si>
  <si>
    <t>แผนงานการศึกษา</t>
  </si>
  <si>
    <t>งานระดับก่อนวัยเรียนและประถมศึกษา</t>
  </si>
  <si>
    <t>เงินเพิ่มต่าง ๆ ของพนักงานจ้าง</t>
  </si>
  <si>
    <t>รายจ่ายเพื่อให้ได้มาซึ่งบริการ</t>
  </si>
  <si>
    <t>เงินเดือนพนักงาน</t>
  </si>
  <si>
    <t>เพียง ณ วันที่ 29 กันยายน 2560</t>
  </si>
  <si>
    <t>ทั้งนี้ในปีงบประมาณ พ.ศ.2560 ได้รับอนุมัติให้จ่ายเงินสะสมที่อยู่ระหว่างดำเนินการจำนวน............................บาท</t>
  </si>
  <si>
    <t>11011000</t>
  </si>
  <si>
    <t>11012001-2</t>
  </si>
  <si>
    <t>11012001-5</t>
  </si>
  <si>
    <t>11012002-1</t>
  </si>
  <si>
    <t>11012003-3</t>
  </si>
  <si>
    <t>11012003-4</t>
  </si>
  <si>
    <t>11012001-6</t>
  </si>
  <si>
    <t>11012003-5</t>
  </si>
  <si>
    <t>11043001</t>
  </si>
  <si>
    <t>11043002</t>
  </si>
  <si>
    <t>11041000</t>
  </si>
  <si>
    <t>11045000</t>
  </si>
  <si>
    <t>11047000</t>
  </si>
  <si>
    <t>11046000</t>
  </si>
  <si>
    <t>11032000</t>
  </si>
  <si>
    <t>19040000</t>
  </si>
  <si>
    <t>21010000</t>
  </si>
  <si>
    <t>21010001</t>
  </si>
  <si>
    <t>21040000</t>
  </si>
  <si>
    <t>31000000</t>
  </si>
  <si>
    <t>32000000</t>
  </si>
  <si>
    <t>29010000</t>
  </si>
  <si>
    <t>ประจำปีงบประมาณ พ.ศ.2560 ดังนี้</t>
  </si>
  <si>
    <t>-  ตู้บานทึบ จำนวน 2 บาน จำนวน 3 ตู้</t>
  </si>
  <si>
    <t>-  ตู้เก็บเอกสาร 2 บาน จำนวน 3 ตู้</t>
  </si>
  <si>
    <t>สำหรับปี สิ้นสุดวันที่ 29 กันยายน 2559</t>
  </si>
  <si>
    <t>โครงการเมืองปลอดภัยด้วยการติดตั้ง</t>
  </si>
  <si>
    <t>กล้องวงจรปิด CCTV</t>
  </si>
  <si>
    <t>ยังไม่ได้
ก่อหนี้ผูกพัน</t>
  </si>
  <si>
    <t>และจะเบิกจ่ายในปีงบประมาณต่อไป ตามรายละเอียดที่แนบท้ายหมายเหตุ 16</t>
  </si>
  <si>
    <t>ตั้งแต่วันที่ 1 ตุลาคม 2558 ถึง 29 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</si>
</sst>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</numFmts>
  <fonts count="26" x14ac:knownFonts="1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name val="AngsanaUPC"/>
      <family val="1"/>
      <charset val="222"/>
    </font>
    <font>
      <sz val="14"/>
      <name val="TH Niramit AS"/>
    </font>
    <font>
      <sz val="16"/>
      <name val="TH Niramit AS"/>
    </font>
    <font>
      <sz val="14"/>
      <color theme="1"/>
      <name val="TH Niramit AS"/>
    </font>
    <font>
      <b/>
      <sz val="18"/>
      <color theme="1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u/>
      <sz val="16"/>
      <color theme="1"/>
      <name val="TH Niramit AS"/>
    </font>
    <font>
      <u/>
      <sz val="16"/>
      <color theme="1"/>
      <name val="TH Niramit AS"/>
    </font>
    <font>
      <b/>
      <sz val="16"/>
      <color rgb="FFFF0000"/>
      <name val="TH Niramit AS"/>
    </font>
    <font>
      <sz val="12"/>
      <color theme="1"/>
      <name val="TH Niramit AS"/>
    </font>
    <font>
      <b/>
      <sz val="20"/>
      <color theme="1"/>
      <name val="TH Niramit AS"/>
    </font>
    <font>
      <b/>
      <sz val="16"/>
      <name val="TH Niramit AS"/>
    </font>
    <font>
      <sz val="16"/>
      <color rgb="FFFF0000"/>
      <name val="TH Niramit AS"/>
    </font>
    <font>
      <b/>
      <sz val="15"/>
      <color theme="1"/>
      <name val="TH Niramit AS"/>
    </font>
    <font>
      <b/>
      <sz val="18"/>
      <name val="TH Niramit AS"/>
    </font>
    <font>
      <b/>
      <u/>
      <sz val="16"/>
      <name val="TH Niramit AS"/>
    </font>
    <font>
      <b/>
      <sz val="16"/>
      <color theme="0"/>
      <name val="TH Niramit AS"/>
    </font>
    <font>
      <b/>
      <sz val="14"/>
      <name val="TH Niramit AS"/>
    </font>
    <font>
      <sz val="10"/>
      <name val="TH Niramit AS"/>
    </font>
    <font>
      <sz val="14"/>
      <color rgb="FFFF0000"/>
      <name val="TH Niramit AS"/>
    </font>
    <font>
      <b/>
      <sz val="16"/>
      <color theme="1"/>
      <name val="Angsana New"/>
      <family val="1"/>
    </font>
    <font>
      <sz val="13"/>
      <name val="TH Niramit AS"/>
    </font>
    <font>
      <sz val="1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5">
    <xf numFmtId="0" fontId="0" fillId="0" borderId="0" xfId="0"/>
    <xf numFmtId="0" fontId="3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top"/>
    </xf>
    <xf numFmtId="43" fontId="3" fillId="0" borderId="5" xfId="1" applyFont="1" applyBorder="1" applyAlignment="1">
      <alignment horizontal="center" vertical="center"/>
    </xf>
    <xf numFmtId="43" fontId="3" fillId="0" borderId="5" xfId="1" applyFont="1" applyBorder="1"/>
    <xf numFmtId="0" fontId="3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top"/>
    </xf>
    <xf numFmtId="43" fontId="3" fillId="0" borderId="21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6" xfId="0" applyFont="1" applyBorder="1" applyAlignment="1">
      <alignment horizontal="center" vertical="top"/>
    </xf>
    <xf numFmtId="49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49" fontId="3" fillId="0" borderId="21" xfId="0" applyNumberFormat="1" applyFont="1" applyBorder="1" applyAlignment="1">
      <alignment horizontal="center" vertical="top"/>
    </xf>
    <xf numFmtId="43" fontId="3" fillId="0" borderId="14" xfId="1" applyFont="1" applyBorder="1" applyAlignment="1">
      <alignment horizontal="center" vertical="center"/>
    </xf>
    <xf numFmtId="187" fontId="3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3" fontId="3" fillId="0" borderId="36" xfId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1" xfId="0" applyFont="1" applyBorder="1" applyAlignment="1">
      <alignment horizontal="center" vertical="top"/>
    </xf>
    <xf numFmtId="43" fontId="4" fillId="0" borderId="6" xfId="1" applyFont="1" applyBorder="1"/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horizontal="center" vertical="top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3" fontId="3" fillId="0" borderId="8" xfId="1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5" fillId="0" borderId="3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7" fontId="3" fillId="0" borderId="31" xfId="1" applyNumberFormat="1" applyFont="1" applyBorder="1" applyAlignment="1">
      <alignment horizontal="center" vertical="center"/>
    </xf>
    <xf numFmtId="187" fontId="3" fillId="0" borderId="32" xfId="1" applyNumberFormat="1" applyFont="1" applyBorder="1" applyAlignment="1">
      <alignment horizontal="center" vertical="center"/>
    </xf>
    <xf numFmtId="0" fontId="5" fillId="0" borderId="30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43" fontId="7" fillId="0" borderId="0" xfId="1" applyFont="1"/>
    <xf numFmtId="0" fontId="9" fillId="0" borderId="0" xfId="0" applyFont="1"/>
    <xf numFmtId="43" fontId="7" fillId="0" borderId="3" xfId="1" applyFont="1" applyBorder="1"/>
    <xf numFmtId="43" fontId="7" fillId="0" borderId="0" xfId="0" applyNumberFormat="1" applyFont="1"/>
    <xf numFmtId="43" fontId="4" fillId="0" borderId="0" xfId="1" applyFont="1" applyBorder="1" applyAlignment="1">
      <alignment horizontal="center" vertical="center"/>
    </xf>
    <xf numFmtId="43" fontId="7" fillId="0" borderId="0" xfId="1" applyFont="1" applyBorder="1"/>
    <xf numFmtId="43" fontId="7" fillId="0" borderId="0" xfId="0" applyNumberFormat="1" applyFont="1" applyAlignment="1">
      <alignment horizontal="left"/>
    </xf>
    <xf numFmtId="43" fontId="7" fillId="0" borderId="28" xfId="1" applyFont="1" applyBorder="1"/>
    <xf numFmtId="43" fontId="7" fillId="0" borderId="2" xfId="0" applyNumberFormat="1" applyFont="1" applyBorder="1"/>
    <xf numFmtId="43" fontId="7" fillId="0" borderId="0" xfId="0" applyNumberFormat="1" applyFont="1" applyBorder="1"/>
    <xf numFmtId="0" fontId="10" fillId="0" borderId="0" xfId="0" applyFont="1"/>
    <xf numFmtId="49" fontId="7" fillId="0" borderId="0" xfId="1" applyNumberFormat="1" applyFont="1" applyAlignment="1">
      <alignment horizontal="right"/>
    </xf>
    <xf numFmtId="0" fontId="11" fillId="0" borderId="0" xfId="0" applyFont="1"/>
    <xf numFmtId="0" fontId="7" fillId="0" borderId="0" xfId="0" applyFont="1" applyAlignment="1"/>
    <xf numFmtId="43" fontId="7" fillId="0" borderId="0" xfId="1" applyFont="1" applyAlignment="1"/>
    <xf numFmtId="49" fontId="8" fillId="0" borderId="0" xfId="1" applyNumberFormat="1" applyFont="1" applyAlignment="1">
      <alignment horizontal="right"/>
    </xf>
    <xf numFmtId="43" fontId="8" fillId="0" borderId="3" xfId="1" applyFont="1" applyBorder="1"/>
    <xf numFmtId="0" fontId="12" fillId="0" borderId="0" xfId="0" applyFont="1"/>
    <xf numFmtId="43" fontId="7" fillId="0" borderId="2" xfId="1" applyFont="1" applyBorder="1"/>
    <xf numFmtId="49" fontId="7" fillId="0" borderId="0" xfId="0" applyNumberFormat="1" applyFont="1" applyAlignment="1">
      <alignment horizontal="right"/>
    </xf>
    <xf numFmtId="0" fontId="5" fillId="0" borderId="0" xfId="0" applyFont="1"/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43" fontId="4" fillId="0" borderId="1" xfId="1" applyFont="1" applyBorder="1"/>
    <xf numFmtId="0" fontId="15" fillId="0" borderId="0" xfId="0" applyFont="1" applyAlignment="1">
      <alignment horizontal="center"/>
    </xf>
    <xf numFmtId="43" fontId="4" fillId="0" borderId="0" xfId="1" applyFont="1" applyBorder="1"/>
    <xf numFmtId="49" fontId="7" fillId="0" borderId="0" xfId="0" applyNumberFormat="1" applyFont="1"/>
    <xf numFmtId="0" fontId="8" fillId="0" borderId="0" xfId="0" applyFont="1" applyAlignment="1">
      <alignment horizontal="center"/>
    </xf>
    <xf numFmtId="43" fontId="8" fillId="0" borderId="34" xfId="1" applyFont="1" applyBorder="1"/>
    <xf numFmtId="43" fontId="8" fillId="0" borderId="0" xfId="1" applyFont="1" applyBorder="1"/>
    <xf numFmtId="43" fontId="8" fillId="0" borderId="2" xfId="1" applyFont="1" applyBorder="1"/>
    <xf numFmtId="43" fontId="7" fillId="0" borderId="34" xfId="1" applyFont="1" applyBorder="1"/>
    <xf numFmtId="0" fontId="4" fillId="0" borderId="0" xfId="0" applyFont="1"/>
    <xf numFmtId="0" fontId="1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8" fillId="0" borderId="13" xfId="0" applyFont="1" applyBorder="1"/>
    <xf numFmtId="0" fontId="7" fillId="0" borderId="10" xfId="0" applyFont="1" applyBorder="1"/>
    <xf numFmtId="43" fontId="7" fillId="0" borderId="5" xfId="1" applyFont="1" applyBorder="1"/>
    <xf numFmtId="0" fontId="7" fillId="0" borderId="5" xfId="0" applyFont="1" applyBorder="1"/>
    <xf numFmtId="43" fontId="4" fillId="0" borderId="5" xfId="1" applyFont="1" applyBorder="1"/>
    <xf numFmtId="0" fontId="7" fillId="0" borderId="14" xfId="0" applyFont="1" applyBorder="1"/>
    <xf numFmtId="0" fontId="7" fillId="0" borderId="11" xfId="0" applyFont="1" applyBorder="1"/>
    <xf numFmtId="43" fontId="7" fillId="0" borderId="6" xfId="1" applyFont="1" applyBorder="1"/>
    <xf numFmtId="0" fontId="7" fillId="0" borderId="6" xfId="0" applyFont="1" applyBorder="1"/>
    <xf numFmtId="0" fontId="8" fillId="0" borderId="14" xfId="0" applyFont="1" applyBorder="1"/>
    <xf numFmtId="0" fontId="7" fillId="0" borderId="8" xfId="0" applyFont="1" applyBorder="1"/>
    <xf numFmtId="43" fontId="7" fillId="0" borderId="8" xfId="1" applyFont="1" applyBorder="1"/>
    <xf numFmtId="43" fontId="8" fillId="0" borderId="4" xfId="1" applyFont="1" applyBorder="1"/>
    <xf numFmtId="0" fontId="8" fillId="0" borderId="4" xfId="0" applyFont="1" applyBorder="1"/>
    <xf numFmtId="0" fontId="7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20" xfId="0" applyFont="1" applyBorder="1"/>
    <xf numFmtId="188" fontId="7" fillId="0" borderId="4" xfId="1" applyNumberFormat="1" applyFont="1" applyBorder="1"/>
    <xf numFmtId="43" fontId="7" fillId="0" borderId="4" xfId="1" applyFont="1" applyBorder="1"/>
    <xf numFmtId="0" fontId="7" fillId="0" borderId="24" xfId="0" applyFont="1" applyBorder="1"/>
    <xf numFmtId="0" fontId="7" fillId="0" borderId="9" xfId="0" applyFont="1" applyBorder="1"/>
    <xf numFmtId="188" fontId="8" fillId="0" borderId="4" xfId="1" applyNumberFormat="1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1" xfId="0" applyFont="1" applyBorder="1"/>
    <xf numFmtId="0" fontId="7" fillId="0" borderId="6" xfId="0" applyFont="1" applyBorder="1" applyAlignment="1">
      <alignment horizontal="center" shrinkToFit="1"/>
    </xf>
    <xf numFmtId="0" fontId="7" fillId="0" borderId="6" xfId="0" applyFont="1" applyBorder="1" applyAlignment="1">
      <alignment shrinkToFit="1"/>
    </xf>
    <xf numFmtId="43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9" fontId="7" fillId="0" borderId="4" xfId="0" applyNumberFormat="1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9" fontId="7" fillId="0" borderId="24" xfId="0" applyNumberFormat="1" applyFont="1" applyBorder="1" applyAlignment="1">
      <alignment horizontal="center" vertical="top"/>
    </xf>
    <xf numFmtId="49" fontId="7" fillId="0" borderId="24" xfId="0" applyNumberFormat="1" applyFont="1" applyBorder="1" applyAlignment="1">
      <alignment horizontal="left" vertical="top"/>
    </xf>
    <xf numFmtId="43" fontId="7" fillId="0" borderId="24" xfId="1" applyFont="1" applyBorder="1" applyAlignment="1">
      <alignment horizontal="left" wrapText="1"/>
    </xf>
    <xf numFmtId="43" fontId="7" fillId="0" borderId="24" xfId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/>
    </xf>
    <xf numFmtId="43" fontId="7" fillId="0" borderId="6" xfId="1" applyFont="1" applyBorder="1" applyAlignment="1">
      <alignment vertical="center"/>
    </xf>
    <xf numFmtId="43" fontId="7" fillId="0" borderId="6" xfId="1" applyFont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vertical="top" wrapText="1"/>
    </xf>
    <xf numFmtId="43" fontId="7" fillId="0" borderId="6" xfId="1" applyFont="1" applyBorder="1" applyAlignment="1">
      <alignment vertical="top"/>
    </xf>
    <xf numFmtId="43" fontId="7" fillId="0" borderId="6" xfId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vertical="top" wrapText="1"/>
    </xf>
    <xf numFmtId="43" fontId="7" fillId="0" borderId="6" xfId="1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49" fontId="7" fillId="0" borderId="6" xfId="0" applyNumberFormat="1" applyFont="1" applyBorder="1" applyAlignment="1">
      <alignment horizontal="left" vertical="top" wrapText="1"/>
    </xf>
    <xf numFmtId="49" fontId="8" fillId="0" borderId="8" xfId="0" applyNumberFormat="1" applyFont="1" applyBorder="1" applyAlignment="1">
      <alignment vertical="top" wrapText="1"/>
    </xf>
    <xf numFmtId="43" fontId="7" fillId="0" borderId="8" xfId="1" applyFont="1" applyBorder="1" applyAlignment="1">
      <alignment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/>
    <xf numFmtId="49" fontId="7" fillId="0" borderId="21" xfId="0" applyNumberFormat="1" applyFont="1" applyBorder="1" applyAlignment="1">
      <alignment horizontal="center" vertical="top"/>
    </xf>
    <xf numFmtId="43" fontId="7" fillId="0" borderId="21" xfId="1" applyFont="1" applyBorder="1" applyAlignment="1">
      <alignment vertical="top"/>
    </xf>
    <xf numFmtId="43" fontId="7" fillId="0" borderId="21" xfId="1" applyFont="1" applyBorder="1" applyAlignment="1">
      <alignment horizontal="center" vertical="top"/>
    </xf>
    <xf numFmtId="49" fontId="8" fillId="0" borderId="21" xfId="0" applyNumberFormat="1" applyFont="1" applyBorder="1" applyAlignment="1">
      <alignment vertical="top"/>
    </xf>
    <xf numFmtId="49" fontId="8" fillId="0" borderId="21" xfId="0" applyNumberFormat="1" applyFont="1" applyBorder="1" applyAlignment="1">
      <alignment vertical="top" wrapText="1"/>
    </xf>
    <xf numFmtId="49" fontId="7" fillId="0" borderId="21" xfId="0" applyNumberFormat="1" applyFont="1" applyBorder="1" applyAlignment="1">
      <alignment horizontal="left" vertical="top" wrapText="1"/>
    </xf>
    <xf numFmtId="49" fontId="7" fillId="0" borderId="24" xfId="0" applyNumberFormat="1" applyFont="1" applyBorder="1" applyAlignment="1">
      <alignment horizontal="left" vertical="top" wrapText="1"/>
    </xf>
    <xf numFmtId="43" fontId="7" fillId="0" borderId="24" xfId="1" applyFont="1" applyBorder="1" applyAlignment="1">
      <alignment horizontal="left" vertical="top"/>
    </xf>
    <xf numFmtId="43" fontId="7" fillId="0" borderId="21" xfId="1" applyFont="1" applyBorder="1" applyAlignment="1">
      <alignment horizontal="left" vertical="top"/>
    </xf>
    <xf numFmtId="0" fontId="7" fillId="0" borderId="7" xfId="0" applyFont="1" applyBorder="1"/>
    <xf numFmtId="43" fontId="7" fillId="0" borderId="9" xfId="0" applyNumberFormat="1" applyFont="1" applyBorder="1"/>
    <xf numFmtId="49" fontId="7" fillId="0" borderId="0" xfId="0" applyNumberFormat="1" applyFont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3" fontId="7" fillId="0" borderId="24" xfId="1" applyFont="1" applyBorder="1" applyAlignment="1">
      <alignment horizontal="center"/>
    </xf>
    <xf numFmtId="43" fontId="7" fillId="0" borderId="24" xfId="1" applyFont="1" applyBorder="1" applyAlignment="1">
      <alignment horizontal="center" vertical="center"/>
    </xf>
    <xf numFmtId="0" fontId="4" fillId="0" borderId="0" xfId="2" applyFont="1" applyAlignment="1" applyProtection="1">
      <alignment vertical="center"/>
    </xf>
    <xf numFmtId="0" fontId="4" fillId="0" borderId="4" xfId="2" applyFont="1" applyBorder="1" applyAlignment="1" applyProtection="1">
      <alignment horizontal="center" vertical="center" wrapText="1"/>
    </xf>
    <xf numFmtId="0" fontId="4" fillId="0" borderId="35" xfId="2" applyFont="1" applyBorder="1" applyAlignment="1" applyProtection="1">
      <alignment horizontal="center" vertical="center" wrapText="1"/>
    </xf>
    <xf numFmtId="43" fontId="4" fillId="0" borderId="4" xfId="1" applyFont="1" applyBorder="1" applyAlignment="1" applyProtection="1">
      <alignment horizontal="center" vertical="center" wrapText="1"/>
    </xf>
    <xf numFmtId="0" fontId="18" fillId="0" borderId="20" xfId="2" applyFont="1" applyBorder="1" applyAlignment="1" applyProtection="1">
      <alignment vertical="center"/>
    </xf>
    <xf numFmtId="0" fontId="4" fillId="0" borderId="17" xfId="2" applyFont="1" applyBorder="1" applyAlignment="1" applyProtection="1">
      <alignment vertical="center"/>
    </xf>
    <xf numFmtId="43" fontId="4" fillId="0" borderId="20" xfId="1" applyFont="1" applyBorder="1" applyAlignment="1" applyProtection="1"/>
    <xf numFmtId="43" fontId="4" fillId="0" borderId="20" xfId="1" applyFont="1" applyBorder="1" applyAlignment="1" applyProtection="1">
      <alignment vertical="center"/>
    </xf>
    <xf numFmtId="0" fontId="4" fillId="0" borderId="24" xfId="2" applyFont="1" applyBorder="1" applyAlignment="1" applyProtection="1">
      <alignment vertical="center"/>
    </xf>
    <xf numFmtId="0" fontId="4" fillId="0" borderId="23" xfId="2" applyFont="1" applyBorder="1" applyAlignment="1" applyProtection="1">
      <alignment vertical="center"/>
    </xf>
    <xf numFmtId="43" fontId="4" fillId="0" borderId="21" xfId="1" applyFont="1" applyBorder="1" applyAlignment="1" applyProtection="1"/>
    <xf numFmtId="43" fontId="4" fillId="0" borderId="6" xfId="1" applyFont="1" applyBorder="1" applyAlignment="1" applyProtection="1"/>
    <xf numFmtId="43" fontId="4" fillId="0" borderId="6" xfId="1" applyFont="1" applyBorder="1" applyAlignment="1" applyProtection="1">
      <alignment vertical="center"/>
    </xf>
    <xf numFmtId="43" fontId="4" fillId="0" borderId="0" xfId="1" applyFont="1" applyAlignment="1" applyProtection="1">
      <alignment vertical="center"/>
    </xf>
    <xf numFmtId="43" fontId="4" fillId="0" borderId="0" xfId="2" applyNumberFormat="1" applyFont="1" applyAlignment="1" applyProtection="1">
      <alignment vertical="center"/>
    </xf>
    <xf numFmtId="43" fontId="4" fillId="0" borderId="8" xfId="1" applyFont="1" applyBorder="1" applyAlignment="1" applyProtection="1">
      <alignment vertical="center"/>
    </xf>
    <xf numFmtId="43" fontId="4" fillId="0" borderId="8" xfId="1" applyFont="1" applyBorder="1" applyAlignment="1" applyProtection="1"/>
    <xf numFmtId="0" fontId="4" fillId="0" borderId="9" xfId="2" applyFont="1" applyBorder="1" applyAlignment="1" applyProtection="1">
      <alignment vertical="center"/>
    </xf>
    <xf numFmtId="0" fontId="4" fillId="0" borderId="19" xfId="2" applyFont="1" applyBorder="1" applyAlignment="1" applyProtection="1">
      <alignment vertical="center"/>
    </xf>
    <xf numFmtId="43" fontId="4" fillId="0" borderId="7" xfId="1" applyFont="1" applyBorder="1" applyAlignment="1" applyProtection="1"/>
    <xf numFmtId="0" fontId="4" fillId="0" borderId="18" xfId="2" applyFont="1" applyBorder="1" applyAlignment="1" applyProtection="1">
      <alignment vertical="center"/>
    </xf>
    <xf numFmtId="0" fontId="4" fillId="0" borderId="19" xfId="2" applyFont="1" applyBorder="1" applyAlignment="1" applyProtection="1">
      <alignment horizontal="center" vertical="center"/>
    </xf>
    <xf numFmtId="43" fontId="14" fillId="0" borderId="25" xfId="1" applyFont="1" applyBorder="1" applyAlignment="1" applyProtection="1"/>
    <xf numFmtId="0" fontId="4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center" vertical="center"/>
    </xf>
    <xf numFmtId="43" fontId="14" fillId="0" borderId="0" xfId="1" applyFont="1" applyBorder="1" applyAlignment="1" applyProtection="1"/>
    <xf numFmtId="43" fontId="4" fillId="0" borderId="0" xfId="1" applyFont="1" applyBorder="1" applyAlignment="1" applyProtection="1"/>
    <xf numFmtId="43" fontId="4" fillId="0" borderId="4" xfId="1" applyFont="1" applyBorder="1" applyAlignment="1" applyProtection="1">
      <alignment horizontal="center" vertical="center" shrinkToFit="1"/>
    </xf>
    <xf numFmtId="0" fontId="4" fillId="0" borderId="0" xfId="2" applyFont="1" applyAlignment="1" applyProtection="1">
      <alignment horizontal="center" vertical="center" wrapText="1"/>
    </xf>
    <xf numFmtId="0" fontId="18" fillId="0" borderId="16" xfId="2" applyFont="1" applyBorder="1" applyAlignment="1" applyProtection="1">
      <alignment vertical="center"/>
    </xf>
    <xf numFmtId="0" fontId="4" fillId="0" borderId="22" xfId="2" applyFont="1" applyBorder="1" applyAlignment="1" applyProtection="1">
      <alignment vertical="center"/>
    </xf>
    <xf numFmtId="43" fontId="4" fillId="0" borderId="21" xfId="1" applyFont="1" applyBorder="1" applyAlignment="1" applyProtection="1">
      <alignment vertical="center"/>
    </xf>
    <xf numFmtId="43" fontId="15" fillId="0" borderId="0" xfId="2" applyNumberFormat="1" applyFont="1" applyAlignment="1" applyProtection="1">
      <alignment vertical="center"/>
    </xf>
    <xf numFmtId="43" fontId="4" fillId="0" borderId="0" xfId="1" applyFont="1" applyBorder="1" applyAlignment="1" applyProtection="1">
      <alignment vertical="center"/>
    </xf>
    <xf numFmtId="0" fontId="14" fillId="0" borderId="23" xfId="2" applyFont="1" applyBorder="1" applyAlignment="1" applyProtection="1">
      <alignment horizontal="center" vertical="center"/>
    </xf>
    <xf numFmtId="0" fontId="4" fillId="0" borderId="17" xfId="2" applyFont="1" applyBorder="1" applyAlignment="1" applyProtection="1">
      <alignment horizontal="center" vertical="center"/>
    </xf>
    <xf numFmtId="43" fontId="14" fillId="0" borderId="24" xfId="1" applyFont="1" applyBorder="1" applyAlignment="1" applyProtection="1"/>
    <xf numFmtId="43" fontId="4" fillId="0" borderId="24" xfId="1" applyFont="1" applyBorder="1" applyAlignment="1" applyProtection="1"/>
    <xf numFmtId="43" fontId="14" fillId="0" borderId="21" xfId="1" applyFont="1" applyBorder="1" applyAlignment="1" applyProtection="1"/>
    <xf numFmtId="43" fontId="14" fillId="0" borderId="6" xfId="1" applyFont="1" applyBorder="1" applyAlignment="1" applyProtection="1"/>
    <xf numFmtId="43" fontId="14" fillId="0" borderId="7" xfId="1" applyFont="1" applyBorder="1" applyAlignment="1" applyProtection="1"/>
    <xf numFmtId="0" fontId="14" fillId="0" borderId="22" xfId="2" applyFont="1" applyBorder="1" applyAlignment="1" applyProtection="1">
      <alignment vertical="center"/>
    </xf>
    <xf numFmtId="0" fontId="14" fillId="0" borderId="29" xfId="2" applyFont="1" applyBorder="1" applyAlignment="1" applyProtection="1">
      <alignment vertical="center"/>
    </xf>
    <xf numFmtId="0" fontId="14" fillId="0" borderId="35" xfId="2" applyFont="1" applyBorder="1" applyAlignment="1" applyProtection="1">
      <alignment horizontal="center" vertical="center"/>
    </xf>
    <xf numFmtId="43" fontId="14" fillId="0" borderId="32" xfId="1" applyFont="1" applyBorder="1" applyAlignment="1" applyProtection="1"/>
    <xf numFmtId="43" fontId="14" fillId="0" borderId="22" xfId="1" applyFont="1" applyBorder="1" applyAlignment="1" applyProtection="1"/>
    <xf numFmtId="0" fontId="18" fillId="0" borderId="22" xfId="2" applyFont="1" applyBorder="1" applyAlignment="1" applyProtection="1">
      <alignment vertical="center"/>
    </xf>
    <xf numFmtId="43" fontId="4" fillId="0" borderId="22" xfId="1" applyFont="1" applyBorder="1" applyAlignment="1" applyProtection="1"/>
    <xf numFmtId="43" fontId="4" fillId="0" borderId="25" xfId="1" applyFont="1" applyBorder="1" applyAlignment="1" applyProtection="1"/>
    <xf numFmtId="0" fontId="14" fillId="0" borderId="0" xfId="2" applyFont="1" applyAlignment="1" applyProtection="1">
      <alignment horizontal="center" vertical="center"/>
    </xf>
    <xf numFmtId="43" fontId="14" fillId="0" borderId="26" xfId="1" applyFont="1" applyBorder="1" applyAlignment="1" applyProtection="1"/>
    <xf numFmtId="43" fontId="15" fillId="0" borderId="0" xfId="1" applyFont="1" applyBorder="1" applyAlignment="1" applyProtection="1"/>
    <xf numFmtId="0" fontId="17" fillId="0" borderId="0" xfId="2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/>
    </xf>
    <xf numFmtId="43" fontId="4" fillId="0" borderId="0" xfId="1" applyFont="1" applyBorder="1" applyAlignment="1" applyProtection="1">
      <alignment horizontal="center" vertical="center"/>
    </xf>
    <xf numFmtId="43" fontId="4" fillId="0" borderId="27" xfId="1" applyFont="1" applyBorder="1" applyAlignment="1" applyProtection="1"/>
    <xf numFmtId="43" fontId="4" fillId="0" borderId="28" xfId="1" applyFont="1" applyBorder="1" applyAlignment="1" applyProtection="1">
      <alignment vertical="center"/>
    </xf>
    <xf numFmtId="43" fontId="4" fillId="0" borderId="0" xfId="2" applyNumberFormat="1" applyFont="1" applyBorder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43" fontId="4" fillId="0" borderId="26" xfId="1" applyFont="1" applyBorder="1" applyAlignment="1" applyProtection="1"/>
    <xf numFmtId="0" fontId="17" fillId="0" borderId="0" xfId="2" applyFont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/>
    </xf>
    <xf numFmtId="43" fontId="4" fillId="0" borderId="5" xfId="1" applyFont="1" applyBorder="1" applyAlignment="1" applyProtection="1">
      <alignment vertical="center"/>
    </xf>
    <xf numFmtId="0" fontId="15" fillId="0" borderId="0" xfId="2" applyFont="1" applyAlignment="1" applyProtection="1">
      <alignment vertical="center"/>
    </xf>
    <xf numFmtId="43" fontId="4" fillId="0" borderId="6" xfId="1" applyFont="1" applyBorder="1" applyAlignment="1" applyProtection="1">
      <alignment horizontal="center"/>
    </xf>
    <xf numFmtId="43" fontId="15" fillId="0" borderId="0" xfId="1" applyFont="1" applyBorder="1" applyAlignment="1" applyProtection="1">
      <alignment vertical="center"/>
    </xf>
    <xf numFmtId="0" fontId="14" fillId="0" borderId="0" xfId="2" applyFont="1" applyBorder="1" applyAlignment="1" applyProtection="1">
      <alignment horizontal="center" vertical="center"/>
    </xf>
    <xf numFmtId="43" fontId="19" fillId="2" borderId="0" xfId="1" applyFont="1" applyFill="1" applyBorder="1" applyAlignment="1" applyProtection="1"/>
    <xf numFmtId="0" fontId="17" fillId="0" borderId="0" xfId="2" applyFont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43" fontId="4" fillId="0" borderId="0" xfId="1" applyFont="1" applyBorder="1" applyAlignment="1" applyProtection="1">
      <alignment horizontal="center" vertical="center" wrapText="1"/>
    </xf>
    <xf numFmtId="43" fontId="15" fillId="0" borderId="0" xfId="1" applyFont="1" applyBorder="1" applyAlignment="1" applyProtection="1">
      <alignment horizontal="center" vertical="center" wrapText="1"/>
    </xf>
    <xf numFmtId="43" fontId="15" fillId="0" borderId="0" xfId="0" applyNumberFormat="1" applyFont="1" applyBorder="1"/>
    <xf numFmtId="43" fontId="14" fillId="0" borderId="4" xfId="1" applyFont="1" applyBorder="1" applyAlignment="1" applyProtection="1"/>
    <xf numFmtId="43" fontId="11" fillId="0" borderId="0" xfId="1" applyFont="1" applyBorder="1" applyAlignment="1" applyProtection="1"/>
    <xf numFmtId="0" fontId="15" fillId="0" borderId="0" xfId="0" applyFont="1" applyBorder="1"/>
    <xf numFmtId="43" fontId="4" fillId="0" borderId="7" xfId="1" applyFont="1" applyBorder="1" applyAlignment="1" applyProtection="1">
      <alignment vertical="center"/>
    </xf>
    <xf numFmtId="43" fontId="15" fillId="0" borderId="0" xfId="0" applyNumberFormat="1" applyFont="1"/>
    <xf numFmtId="43" fontId="4" fillId="0" borderId="4" xfId="1" applyFont="1" applyFill="1" applyBorder="1" applyAlignment="1" applyProtection="1">
      <alignment horizontal="center" vertical="center" wrapText="1"/>
    </xf>
    <xf numFmtId="43" fontId="7" fillId="0" borderId="7" xfId="1" applyFont="1" applyBorder="1"/>
    <xf numFmtId="43" fontId="15" fillId="0" borderId="0" xfId="1" applyFont="1" applyFill="1" applyBorder="1" applyAlignment="1" applyProtection="1">
      <alignment horizontal="center" vertical="center" wrapText="1"/>
    </xf>
    <xf numFmtId="43" fontId="15" fillId="0" borderId="0" xfId="1" applyFont="1" applyBorder="1"/>
    <xf numFmtId="43" fontId="4" fillId="0" borderId="12" xfId="1" applyFont="1" applyBorder="1" applyAlignment="1" applyProtection="1">
      <alignment vertical="center"/>
    </xf>
    <xf numFmtId="49" fontId="13" fillId="0" borderId="0" xfId="0" applyNumberFormat="1" applyFont="1"/>
    <xf numFmtId="49" fontId="8" fillId="0" borderId="0" xfId="0" applyNumberFormat="1" applyFont="1" applyBorder="1"/>
    <xf numFmtId="49" fontId="7" fillId="0" borderId="0" xfId="0" applyNumberFormat="1" applyFont="1" applyBorder="1"/>
    <xf numFmtId="49" fontId="8" fillId="0" borderId="0" xfId="0" applyNumberFormat="1" applyFont="1"/>
    <xf numFmtId="0" fontId="20" fillId="0" borderId="4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187" fontId="3" fillId="0" borderId="5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7" fontId="3" fillId="0" borderId="21" xfId="1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7" fillId="0" borderId="25" xfId="1" applyFont="1" applyBorder="1"/>
    <xf numFmtId="43" fontId="7" fillId="0" borderId="21" xfId="0" applyNumberFormat="1" applyFont="1" applyBorder="1"/>
    <xf numFmtId="0" fontId="21" fillId="0" borderId="0" xfId="0" applyFont="1"/>
    <xf numFmtId="0" fontId="21" fillId="0" borderId="0" xfId="0" applyFont="1" applyBorder="1"/>
    <xf numFmtId="0" fontId="20" fillId="0" borderId="34" xfId="0" applyFont="1" applyBorder="1" applyAlignment="1">
      <alignment horizontal="center" vertical="center"/>
    </xf>
    <xf numFmtId="43" fontId="20" fillId="0" borderId="34" xfId="1" applyFont="1" applyBorder="1" applyAlignment="1">
      <alignment horizontal="center" vertical="center"/>
    </xf>
    <xf numFmtId="43" fontId="20" fillId="0" borderId="4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43" fontId="22" fillId="0" borderId="6" xfId="1" applyFont="1" applyBorder="1" applyAlignment="1">
      <alignment horizontal="center" vertical="center"/>
    </xf>
    <xf numFmtId="43" fontId="4" fillId="0" borderId="0" xfId="0" applyNumberFormat="1" applyFont="1"/>
    <xf numFmtId="0" fontId="3" fillId="0" borderId="38" xfId="0" applyFont="1" applyBorder="1" applyAlignment="1">
      <alignment vertical="center" wrapText="1"/>
    </xf>
    <xf numFmtId="0" fontId="5" fillId="0" borderId="14" xfId="0" applyFont="1" applyBorder="1" applyAlignment="1">
      <alignment wrapText="1"/>
    </xf>
    <xf numFmtId="0" fontId="3" fillId="0" borderId="21" xfId="0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3" fillId="0" borderId="1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1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/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8" fontId="4" fillId="0" borderId="0" xfId="1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88" fontId="4" fillId="0" borderId="0" xfId="1" applyNumberFormat="1" applyFont="1" applyBorder="1"/>
    <xf numFmtId="0" fontId="1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187" fontId="21" fillId="0" borderId="0" xfId="0" applyNumberFormat="1" applyFont="1"/>
    <xf numFmtId="49" fontId="7" fillId="0" borderId="0" xfId="0" applyNumberFormat="1" applyFont="1" applyBorder="1" applyAlignment="1">
      <alignment horizontal="left" vertical="top"/>
    </xf>
    <xf numFmtId="43" fontId="7" fillId="0" borderId="0" xfId="1" applyFont="1" applyBorder="1" applyAlignment="1">
      <alignment vertical="top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189" fontId="7" fillId="0" borderId="0" xfId="0" applyNumberFormat="1" applyFont="1"/>
    <xf numFmtId="0" fontId="7" fillId="0" borderId="5" xfId="0" applyFont="1" applyBorder="1" applyAlignment="1">
      <alignment shrinkToFit="1"/>
    </xf>
    <xf numFmtId="0" fontId="7" fillId="0" borderId="5" xfId="0" applyFont="1" applyBorder="1" applyAlignment="1">
      <alignment horizontal="center" shrinkToFit="1"/>
    </xf>
    <xf numFmtId="43" fontId="8" fillId="0" borderId="0" xfId="1" applyFont="1" applyBorder="1" applyAlignment="1">
      <alignment horizontal="left"/>
    </xf>
    <xf numFmtId="43" fontId="7" fillId="0" borderId="0" xfId="1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top"/>
    </xf>
    <xf numFmtId="43" fontId="8" fillId="0" borderId="2" xfId="1" applyFont="1" applyBorder="1" applyAlignment="1">
      <alignment vertical="top"/>
    </xf>
    <xf numFmtId="43" fontId="3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87" fontId="3" fillId="0" borderId="24" xfId="1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/>
    </xf>
    <xf numFmtId="43" fontId="7" fillId="0" borderId="5" xfId="1" applyFont="1" applyBorder="1" applyAlignment="1">
      <alignment vertical="top"/>
    </xf>
    <xf numFmtId="0" fontId="7" fillId="0" borderId="21" xfId="0" applyFont="1" applyBorder="1" applyAlignment="1">
      <alignment horizontal="center" shrinkToFit="1"/>
    </xf>
    <xf numFmtId="0" fontId="7" fillId="0" borderId="21" xfId="0" applyFont="1" applyBorder="1" applyAlignment="1">
      <alignment shrinkToFit="1"/>
    </xf>
    <xf numFmtId="0" fontId="7" fillId="0" borderId="13" xfId="0" applyFont="1" applyBorder="1"/>
    <xf numFmtId="0" fontId="7" fillId="0" borderId="35" xfId="0" applyFont="1" applyBorder="1" applyAlignment="1">
      <alignment horizontal="center"/>
    </xf>
    <xf numFmtId="43" fontId="23" fillId="0" borderId="0" xfId="1" applyFont="1" applyBorder="1" applyAlignment="1" applyProtection="1">
      <alignment vertical="center"/>
    </xf>
    <xf numFmtId="49" fontId="3" fillId="0" borderId="8" xfId="0" applyNumberFormat="1" applyFont="1" applyBorder="1" applyAlignment="1">
      <alignment horizontal="center" vertical="top"/>
    </xf>
    <xf numFmtId="0" fontId="2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24" fillId="0" borderId="0" xfId="0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vertical="top"/>
    </xf>
    <xf numFmtId="43" fontId="4" fillId="0" borderId="0" xfId="1" applyFont="1" applyBorder="1" applyAlignment="1">
      <alignment vertical="top"/>
    </xf>
    <xf numFmtId="43" fontId="8" fillId="0" borderId="1" xfId="1" applyFont="1" applyBorder="1"/>
    <xf numFmtId="43" fontId="7" fillId="0" borderId="21" xfId="1" applyFont="1" applyBorder="1"/>
    <xf numFmtId="49" fontId="7" fillId="0" borderId="24" xfId="0" applyNumberFormat="1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Alignment="1"/>
    <xf numFmtId="0" fontId="7" fillId="0" borderId="35" xfId="0" applyFont="1" applyBorder="1" applyAlignment="1">
      <alignment horizontal="center"/>
    </xf>
    <xf numFmtId="43" fontId="8" fillId="0" borderId="33" xfId="1" applyFont="1" applyBorder="1"/>
    <xf numFmtId="43" fontId="8" fillId="0" borderId="28" xfId="1" applyFont="1" applyBorder="1"/>
    <xf numFmtId="49" fontId="7" fillId="0" borderId="6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/>
    </xf>
    <xf numFmtId="43" fontId="7" fillId="0" borderId="6" xfId="1" applyFont="1" applyBorder="1" applyAlignment="1">
      <alignment horizontal="left"/>
    </xf>
    <xf numFmtId="43" fontId="7" fillId="0" borderId="33" xfId="1" applyFont="1" applyBorder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43" fontId="7" fillId="0" borderId="20" xfId="1" applyFont="1" applyBorder="1" applyAlignment="1">
      <alignment horizontal="center" vertical="center"/>
    </xf>
    <xf numFmtId="43" fontId="7" fillId="0" borderId="9" xfId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43" fontId="8" fillId="0" borderId="0" xfId="0" applyNumberFormat="1" applyFont="1" applyAlignment="1">
      <alignment horizontal="left"/>
    </xf>
    <xf numFmtId="43" fontId="8" fillId="0" borderId="0" xfId="1" applyFont="1" applyAlignment="1">
      <alignment horizontal="center"/>
    </xf>
    <xf numFmtId="49" fontId="8" fillId="0" borderId="29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center"/>
    </xf>
    <xf numFmtId="0" fontId="4" fillId="0" borderId="4" xfId="2" applyFont="1" applyBorder="1" applyAlignment="1" applyProtection="1">
      <alignment horizontal="center" vertical="center" wrapText="1"/>
    </xf>
    <xf numFmtId="0" fontId="17" fillId="0" borderId="0" xfId="2" applyFont="1" applyAlignment="1" applyProtection="1">
      <alignment horizontal="center" vertical="center"/>
    </xf>
    <xf numFmtId="0" fontId="4" fillId="0" borderId="29" xfId="2" applyFont="1" applyBorder="1" applyAlignment="1" applyProtection="1">
      <alignment horizontal="center" vertical="center"/>
    </xf>
    <xf numFmtId="0" fontId="4" fillId="0" borderId="34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 vertical="center"/>
    </xf>
    <xf numFmtId="0" fontId="17" fillId="0" borderId="3" xfId="2" applyFont="1" applyBorder="1" applyAlignment="1" applyProtection="1">
      <alignment horizontal="center" vertical="center"/>
    </xf>
    <xf numFmtId="49" fontId="7" fillId="0" borderId="0" xfId="0" applyNumberFormat="1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43" fontId="4" fillId="0" borderId="35" xfId="1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งบรวม 255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27</xdr:row>
      <xdr:rowOff>180975</xdr:rowOff>
    </xdr:from>
    <xdr:to>
      <xdr:col>8</xdr:col>
      <xdr:colOff>1162047</xdr:colOff>
      <xdr:row>33</xdr:row>
      <xdr:rowOff>180975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42872" y="8967788"/>
          <a:ext cx="5984081" cy="1857375"/>
          <a:chOff x="7" y="1099"/>
          <a:chExt cx="652" cy="17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7" y="1099"/>
            <a:ext cx="263" cy="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27432" bIns="0" anchor="t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ตรวจแล้วถูกต้อง</a:t>
            </a: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(นางทิพวรรณ  ปัญญา)</a:t>
            </a:r>
          </a:p>
          <a:p>
            <a:pPr algn="ctr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 </a:t>
            </a: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ผู้อำนวยการกองคลัง </a:t>
            </a: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Arial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219" y="1100"/>
            <a:ext cx="440" cy="159"/>
            <a:chOff x="219" y="1100"/>
            <a:chExt cx="440" cy="159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219" y="1100"/>
              <a:ext cx="218" cy="1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(นางสาวขนิษฐา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รักติประกร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ปลัดเทศบาล</a:t>
              </a:r>
            </a:p>
            <a:p>
              <a:pPr algn="ctr" rtl="1">
                <a:defRPr sz="1000"/>
              </a:pPr>
              <a:endParaRPr lang="th-TH" sz="10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</xdr:txBody>
        </xdr:sp>
        <xdr:sp macro="" textlink="">
          <xdr:nvSpPr>
            <xdr:cNvPr id="6" name="Text Box 5"/>
            <xdr:cNvSpPr txBox="1">
              <a:spLocks noChangeArrowheads="1"/>
            </xdr:cNvSpPr>
          </xdr:nvSpPr>
          <xdr:spPr bwMode="auto">
            <a:xfrm>
              <a:off x="430" y="1100"/>
              <a:ext cx="229" cy="15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l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  ว่าที่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ร.ต.</a:t>
              </a: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(มนัส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กันธะทา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นายกเทศมนตรีตำบลตลาดใหญ่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32045</xdr:colOff>
      <xdr:row>26</xdr:row>
      <xdr:rowOff>300041</xdr:rowOff>
    </xdr:from>
    <xdr:to>
      <xdr:col>8</xdr:col>
      <xdr:colOff>1143000</xdr:colOff>
      <xdr:row>32</xdr:row>
      <xdr:rowOff>300041</xdr:rowOff>
    </xdr:to>
    <xdr:grpSp>
      <xdr:nvGrpSpPr>
        <xdr:cNvPr id="7" name="Group 1"/>
        <xdr:cNvGrpSpPr>
          <a:grpSpLocks/>
        </xdr:cNvGrpSpPr>
      </xdr:nvGrpSpPr>
      <xdr:grpSpPr bwMode="auto">
        <a:xfrm>
          <a:off x="32045" y="8777291"/>
          <a:ext cx="6075861" cy="1857375"/>
          <a:chOff x="-3" y="1099"/>
          <a:chExt cx="662" cy="17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-3" y="1099"/>
            <a:ext cx="263" cy="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27432" bIns="0" anchor="t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ตรวจแล้วถูกต้อง</a:t>
            </a: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(นางทิพวรรณ  ปัญญา)</a:t>
            </a: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ผู้อำนวยการกองคลัง </a:t>
            </a: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Arial"/>
            </a:endParaRPr>
          </a:p>
        </xdr:txBody>
      </xdr:sp>
      <xdr:grpSp>
        <xdr:nvGrpSpPr>
          <xdr:cNvPr id="9" name="Group 3"/>
          <xdr:cNvGrpSpPr>
            <a:grpSpLocks/>
          </xdr:cNvGrpSpPr>
        </xdr:nvGrpSpPr>
        <xdr:grpSpPr bwMode="auto">
          <a:xfrm>
            <a:off x="219" y="1100"/>
            <a:ext cx="440" cy="159"/>
            <a:chOff x="219" y="1100"/>
            <a:chExt cx="440" cy="159"/>
          </a:xfrm>
        </xdr:grpSpPr>
        <xdr:sp macro="" textlink="">
          <xdr:nvSpPr>
            <xdr:cNvPr id="10" name="Text Box 4"/>
            <xdr:cNvSpPr txBox="1">
              <a:spLocks noChangeArrowheads="1"/>
            </xdr:cNvSpPr>
          </xdr:nvSpPr>
          <xdr:spPr bwMode="auto">
            <a:xfrm>
              <a:off x="219" y="1100"/>
              <a:ext cx="218" cy="1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(นางสาวขนิษฐา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รักติประกร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ปลัดเทศบาล</a:t>
              </a:r>
            </a:p>
            <a:p>
              <a:pPr algn="ctr" rtl="1">
                <a:defRPr sz="1000"/>
              </a:pPr>
              <a:endParaRPr lang="th-TH" sz="10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</xdr:txBody>
        </xdr:sp>
        <xdr:sp macro="" textlink="">
          <xdr:nvSpPr>
            <xdr:cNvPr id="11" name="Text Box 5"/>
            <xdr:cNvSpPr txBox="1">
              <a:spLocks noChangeArrowheads="1"/>
            </xdr:cNvSpPr>
          </xdr:nvSpPr>
          <xdr:spPr bwMode="auto">
            <a:xfrm>
              <a:off x="430" y="1100"/>
              <a:ext cx="229" cy="15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l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  ว่าที่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ร.ต.</a:t>
              </a: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(มนัส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กันธะทา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นายกเทศมนตรีตำบลตลาดใหญ่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27</xdr:row>
      <xdr:rowOff>257175</xdr:rowOff>
    </xdr:from>
    <xdr:to>
      <xdr:col>8</xdr:col>
      <xdr:colOff>942975</xdr:colOff>
      <xdr:row>33</xdr:row>
      <xdr:rowOff>0</xdr:rowOff>
    </xdr:to>
    <xdr:grpSp>
      <xdr:nvGrpSpPr>
        <xdr:cNvPr id="7" name="Group 1"/>
        <xdr:cNvGrpSpPr>
          <a:grpSpLocks/>
        </xdr:cNvGrpSpPr>
      </xdr:nvGrpSpPr>
      <xdr:grpSpPr bwMode="auto">
        <a:xfrm>
          <a:off x="438150" y="8743950"/>
          <a:ext cx="6000750" cy="1628775"/>
          <a:chOff x="7" y="1099"/>
          <a:chExt cx="652" cy="17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7" y="1099"/>
            <a:ext cx="263" cy="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27432" bIns="0" anchor="t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ตรวจแล้วถูกต้อง</a:t>
            </a: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(นางทิพวรรณ  ปัญญา)</a:t>
            </a: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ผู้อำนวยการกองคลัง </a:t>
            </a: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Arial"/>
            </a:endParaRPr>
          </a:p>
        </xdr:txBody>
      </xdr:sp>
      <xdr:grpSp>
        <xdr:nvGrpSpPr>
          <xdr:cNvPr id="9" name="Group 3"/>
          <xdr:cNvGrpSpPr>
            <a:grpSpLocks/>
          </xdr:cNvGrpSpPr>
        </xdr:nvGrpSpPr>
        <xdr:grpSpPr bwMode="auto">
          <a:xfrm>
            <a:off x="219" y="1100"/>
            <a:ext cx="440" cy="159"/>
            <a:chOff x="219" y="1100"/>
            <a:chExt cx="440" cy="159"/>
          </a:xfrm>
        </xdr:grpSpPr>
        <xdr:sp macro="" textlink="">
          <xdr:nvSpPr>
            <xdr:cNvPr id="15" name="Text Box 4"/>
            <xdr:cNvSpPr txBox="1">
              <a:spLocks noChangeArrowheads="1"/>
            </xdr:cNvSpPr>
          </xdr:nvSpPr>
          <xdr:spPr bwMode="auto">
            <a:xfrm>
              <a:off x="219" y="1100"/>
              <a:ext cx="218" cy="1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(นางสาวขนิษฐา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รักติประกร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ปลัดเทศบาล</a:t>
              </a:r>
            </a:p>
            <a:p>
              <a:pPr algn="ctr" rtl="1">
                <a:defRPr sz="1000"/>
              </a:pPr>
              <a:endParaRPr lang="th-TH" sz="10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</xdr:txBody>
        </xdr:sp>
        <xdr:sp macro="" textlink="">
          <xdr:nvSpPr>
            <xdr:cNvPr id="16" name="Text Box 5"/>
            <xdr:cNvSpPr txBox="1">
              <a:spLocks noChangeArrowheads="1"/>
            </xdr:cNvSpPr>
          </xdr:nvSpPr>
          <xdr:spPr bwMode="auto">
            <a:xfrm>
              <a:off x="430" y="1100"/>
              <a:ext cx="229" cy="15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l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  ว่าที่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ร.ต.</a:t>
              </a: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(มนัส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กันธะทา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นายกเทศมนตรีตำบลตลาดใหญ่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7</xdr:col>
      <xdr:colOff>895350</xdr:colOff>
      <xdr:row>26</xdr:row>
      <xdr:rowOff>1</xdr:rowOff>
    </xdr:from>
    <xdr:to>
      <xdr:col>8</xdr:col>
      <xdr:colOff>276225</xdr:colOff>
      <xdr:row>26</xdr:row>
      <xdr:rowOff>295275</xdr:rowOff>
    </xdr:to>
    <xdr:sp macro="" textlink="">
      <xdr:nvSpPr>
        <xdr:cNvPr id="2" name="TextBox 1"/>
        <xdr:cNvSpPr txBox="1"/>
      </xdr:nvSpPr>
      <xdr:spPr>
        <a:xfrm>
          <a:off x="5191125" y="8162926"/>
          <a:ext cx="58102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161925</xdr:rowOff>
    </xdr:from>
    <xdr:to>
      <xdr:col>3</xdr:col>
      <xdr:colOff>981075</xdr:colOff>
      <xdr:row>35</xdr:row>
      <xdr:rowOff>161925</xdr:rowOff>
    </xdr:to>
    <xdr:grpSp>
      <xdr:nvGrpSpPr>
        <xdr:cNvPr id="7" name="Group 1"/>
        <xdr:cNvGrpSpPr>
          <a:grpSpLocks/>
        </xdr:cNvGrpSpPr>
      </xdr:nvGrpSpPr>
      <xdr:grpSpPr bwMode="auto">
        <a:xfrm>
          <a:off x="0" y="8858250"/>
          <a:ext cx="6276975" cy="1895475"/>
          <a:chOff x="7" y="1099"/>
          <a:chExt cx="652" cy="17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7" y="1099"/>
            <a:ext cx="263" cy="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27432" bIns="0" anchor="t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ตรวจแล้วถูกต้อง</a:t>
            </a: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endParaRPr lang="th-TH" sz="1600" b="0" i="0" strike="noStrike">
              <a:solidFill>
                <a:srgbClr val="000000"/>
              </a:solidFill>
              <a:latin typeface="TH Niramit AS" pitchFamily="2" charset="-34"/>
              <a:cs typeface="TH Niramit AS" pitchFamily="2" charset="-34"/>
            </a:endParaRP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(นางทิพวรรณ  ปัญญา)</a:t>
            </a:r>
          </a:p>
          <a:p>
            <a:pPr algn="ctr" rtl="1">
              <a:defRPr sz="1000"/>
            </a:pPr>
            <a:r>
              <a: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rPr>
              <a:t>ผู้อำนวยการกองคลัง </a:t>
            </a: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  <a:p>
            <a:pPr algn="ctr" rtl="1">
              <a:defRPr sz="1000"/>
            </a:pPr>
            <a:endParaRPr lang="th-TH" sz="1000" b="0" i="0" strike="noStrike">
              <a:solidFill>
                <a:srgbClr val="000000"/>
              </a:solidFill>
              <a:latin typeface="Arial"/>
            </a:endParaRPr>
          </a:p>
        </xdr:txBody>
      </xdr:sp>
      <xdr:grpSp>
        <xdr:nvGrpSpPr>
          <xdr:cNvPr id="9" name="Group 3"/>
          <xdr:cNvGrpSpPr>
            <a:grpSpLocks/>
          </xdr:cNvGrpSpPr>
        </xdr:nvGrpSpPr>
        <xdr:grpSpPr bwMode="auto">
          <a:xfrm>
            <a:off x="219" y="1100"/>
            <a:ext cx="440" cy="159"/>
            <a:chOff x="219" y="1100"/>
            <a:chExt cx="440" cy="159"/>
          </a:xfrm>
        </xdr:grpSpPr>
        <xdr:sp macro="" textlink="">
          <xdr:nvSpPr>
            <xdr:cNvPr id="10" name="Text Box 4"/>
            <xdr:cNvSpPr txBox="1">
              <a:spLocks noChangeArrowheads="1"/>
            </xdr:cNvSpPr>
          </xdr:nvSpPr>
          <xdr:spPr bwMode="auto">
            <a:xfrm>
              <a:off x="219" y="1100"/>
              <a:ext cx="218" cy="1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(นางสาวขนิษฐา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รักติประกร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ปลัดเทศบาล</a:t>
              </a:r>
            </a:p>
            <a:p>
              <a:pPr algn="ctr" rtl="1">
                <a:defRPr sz="1000"/>
              </a:pPr>
              <a:endParaRPr lang="th-TH" sz="10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</xdr:txBody>
        </xdr:sp>
        <xdr:sp macro="" textlink="">
          <xdr:nvSpPr>
            <xdr:cNvPr id="11" name="Text Box 5"/>
            <xdr:cNvSpPr txBox="1">
              <a:spLocks noChangeArrowheads="1"/>
            </xdr:cNvSpPr>
          </xdr:nvSpPr>
          <xdr:spPr bwMode="auto">
            <a:xfrm>
              <a:off x="430" y="1100"/>
              <a:ext cx="229" cy="15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5720" rIns="27432" bIns="0" anchor="t" upright="1"/>
            <a:lstStyle/>
            <a:p>
              <a:pPr algn="ctr" rtl="1">
                <a:defRPr sz="1000"/>
              </a:pPr>
              <a:r>
                <a:rPr lang="th-TH" sz="1600" b="1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ตรวจแล้วถูกต้อง</a:t>
              </a:r>
            </a:p>
            <a:p>
              <a:pPr algn="ctr" rtl="1">
                <a:defRPr sz="1000"/>
              </a:pPr>
              <a:endParaRPr lang="th-TH" sz="1600" b="1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l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  ว่าที่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ร.ต.</a:t>
              </a:r>
              <a:endParaRPr lang="th-TH" sz="1600" b="0" i="0" strike="noStrike">
                <a:solidFill>
                  <a:srgbClr val="000000"/>
                </a:solidFill>
                <a:latin typeface="TH Niramit AS" pitchFamily="2" charset="-34"/>
                <a:cs typeface="TH Niramit AS" pitchFamily="2" charset="-34"/>
              </a:endParaRP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(มนัส</a:t>
              </a:r>
              <a:r>
                <a:rPr lang="th-TH" sz="1600" b="0" i="0" strike="noStrike" baseline="0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  กันธะทา</a:t>
              </a: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)</a:t>
              </a:r>
            </a:p>
            <a:p>
              <a:pPr algn="ctr" rtl="1">
                <a:defRPr sz="1000"/>
              </a:pPr>
              <a:r>
                <a:rPr lang="th-TH" sz="1600" b="0" i="0" strike="noStrike">
                  <a:solidFill>
                    <a:srgbClr val="000000"/>
                  </a:solidFill>
                  <a:latin typeface="TH Niramit AS" pitchFamily="2" charset="-34"/>
                  <a:cs typeface="TH Niramit AS" pitchFamily="2" charset="-34"/>
                </a:rPr>
                <a:t>นายกเทศมนตรีตำบลตลาดใหญ่</a:t>
              </a:r>
            </a:p>
            <a:p>
              <a:pPr algn="ctr" rtl="1">
                <a:defRPr sz="1000"/>
              </a:pPr>
              <a:endParaRPr lang="th-TH" sz="16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05;&#3619;&#3623;&#3592;&#3591;&#3634;&#3609;\&#3605;&#3619;&#3623;&#3592;&#3591;&#3634;&#3609;%20&#3626;&#3605;&#3591;\&#3605;&#3619;&#3623;&#3592;%202558\&#3591;&#3610;&#3585;&#3634;&#3619;&#3648;&#3591;&#3636;&#3609;(&#3626;&#3605;&#3591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592;&#3656;&#3634;&#3618;&#3592;&#3634;&#3585;&#3648;&#3591;&#3636;&#3609;&#3619;&#3634;&#3618;&#3619;&#3633;&#3610;&#3629;&#3640;&#3604;&#3627;&#3609;&#3640;&#3609;&#3648;&#3593;&#3614;&#3634;&#3632;&#3585;&#3636;&#3592;6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627;&#3617;&#3634;&#3618;&#3648;&#3627;&#3605;&#3640;1-6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59\&#3627;&#3617;&#3634;&#3618;&#3648;&#3627;&#3605;&#3640;1-5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592;&#3656;&#3634;&#3618;&#3592;&#3634;&#3585;&#3648;&#3591;&#3636;&#3609;&#3619;&#3634;&#3618;&#3619;&#3633;&#3610;6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59\&#3585;&#3619;&#3632;&#3604;&#3634;&#3625;&#3607;&#3635;&#3585;&#3634;&#3619;&#3592;&#3656;&#3634;&#3618;&#3592;&#3634;&#3585;&#3648;&#3591;&#3636;&#3609;&#3619;&#3634;&#3618;&#3619;&#3633;&#3610;5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6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19;&#3634;&#3618;&#3591;&#3634;&#3609;&#3588;&#3591;&#3648;&#3627;&#3621;&#3639;&#3629;&#3611;&#3619;&#3632;&#3592;&#3635;&#3623;&#3633;&#3609;\&#3619;&#3634;&#3618;&#3591;&#3634;&#3609;&#3648;&#3591;&#3636;&#3609;&#3588;&#3591;&#3648;&#3627;&#3621;&#3639;&#3629;&#3611;&#3619;&#3632;&#3592;&#3635;&#3623;&#3633;&#3609;5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610;&#3612;&#3607;.6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59\&#3585;&#3619;&#3632;&#3604;&#3634;&#3625;&#3607;&#3635;&#3585;&#3634;&#3619;&#3592;&#3656;&#3634;&#3618;&#3592;&#3634;&#3585;&#3648;&#3591;&#3636;&#3609;&#3619;&#3634;&#3618;&#3619;&#3633;&#3610;&#3629;&#3640;&#3604;&#3627;&#3609;&#3640;&#3609;&#3648;&#3593;&#3614;&#3634;&#3632;&#3585;&#3636;&#3592;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627;&#3617;&#3634;&#3618;&#3648;&#3627;&#3605;&#3640;&#3611;&#3619;&#3632;&#3585;&#3629;&#3610;&#3591;&#3610;&#3607;&#3619;&#3633;&#3614;&#3618;&#3660;&#3626;&#3636;&#3609;\&#3610;&#3633;&#3597;&#3594;&#3637;&#3588;&#3619;&#3640;&#3616;&#3633;&#3603;&#3601;&#3660;%2058\&#3649;&#3618;&#3585;&#3605;&#3634;&#3617;&#3611;&#3619;&#3632;&#3648;&#3616;&#3607;58&#3609;&#3640;&#359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19;&#3634;&#3618;&#3591;&#3634;&#3609;&#3588;&#3591;&#3648;&#3627;&#3621;&#3639;&#3629;&#3611;&#3619;&#3632;&#3592;&#3635;&#3623;&#3633;&#3609;\&#3619;&#3634;&#3618;&#3591;&#3634;&#3609;&#3648;&#3591;&#3636;&#3609;&#3588;&#3591;&#3648;&#3627;&#3621;&#3639;&#3629;&#3611;&#3619;&#3632;&#3592;&#3635;&#3623;&#3633;&#3609;6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627;&#3617;&#3634;&#3618;&#3648;&#3627;&#3605;&#3640;2,3-6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59\&#3610;&#3612;&#3607;.5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592;&#3656;&#3634;&#3618;&#3592;&#3634;&#3585;&#3648;&#3591;&#3636;&#3609;&#3626;&#3632;&#3626;&#3617;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592;&#3656;&#3634;&#3618;&#3592;&#3634;&#3585;&#3648;&#3591;&#3636;&#3609;&#3607;&#3640;&#3609;&#3626;&#3635;&#3619;&#3629;&#3591;&#3648;&#3591;&#3636;&#3609;&#3626;&#3632;&#3626;&#3617;6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588;&#3591;&#3648;&#3627;&#3621;&#3639;&#3629;6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5;&#3629;&#3591;&#3588;&#3621;&#3633;&#3591;\&#3610;&#3633;&#3597;&#3594;&#3637;\&#3607;&#3640;&#3585;&#3648;&#3604;&#3639;&#3629;&#3609;\60\&#3585;&#3619;&#3632;&#3604;&#3634;&#3625;&#3607;&#3635;&#3585;&#3634;&#3619;&#3650;&#3629;&#3609;&#3591;&#3610;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แสดงฐานะ"/>
      <sheetName val="1."/>
      <sheetName val="2."/>
      <sheetName val="3-4"/>
      <sheetName val="5"/>
      <sheetName val="6."/>
      <sheetName val="7."/>
      <sheetName val="8"/>
      <sheetName val="งบแสดง"/>
      <sheetName val="หมายเหตุ"/>
      <sheetName val="ไม่เอา"/>
      <sheetName val="หมายเหตุนี้เอามั้ยพี่อ้อม"/>
    </sheetNames>
    <sheetDataSet>
      <sheetData sheetId="0"/>
      <sheetData sheetId="1"/>
      <sheetData sheetId="2">
        <row r="8">
          <cell r="D8">
            <v>2646281.5</v>
          </cell>
        </row>
        <row r="9">
          <cell r="B9">
            <v>1440000</v>
          </cell>
          <cell r="D9">
            <v>9445880</v>
          </cell>
        </row>
        <row r="10">
          <cell r="D10">
            <v>2122879</v>
          </cell>
        </row>
        <row r="11">
          <cell r="D11">
            <v>50100</v>
          </cell>
        </row>
        <row r="12">
          <cell r="D12">
            <v>39690</v>
          </cell>
        </row>
        <row r="13">
          <cell r="D13">
            <v>8248400</v>
          </cell>
          <cell r="F13">
            <v>10344600</v>
          </cell>
        </row>
        <row r="15">
          <cell r="B15">
            <v>1851146.5</v>
          </cell>
        </row>
        <row r="16">
          <cell r="B16">
            <v>25500</v>
          </cell>
        </row>
        <row r="17">
          <cell r="B17">
            <v>3362800</v>
          </cell>
        </row>
        <row r="18">
          <cell r="B18">
            <v>65200</v>
          </cell>
        </row>
        <row r="19">
          <cell r="B19">
            <v>17500</v>
          </cell>
        </row>
        <row r="20">
          <cell r="B20">
            <v>426930</v>
          </cell>
        </row>
        <row r="21">
          <cell r="B21">
            <v>253010</v>
          </cell>
        </row>
        <row r="22">
          <cell r="B22">
            <v>29769</v>
          </cell>
        </row>
        <row r="23">
          <cell r="B23">
            <v>19600</v>
          </cell>
        </row>
        <row r="24">
          <cell r="B24">
            <v>4320400</v>
          </cell>
        </row>
        <row r="25">
          <cell r="B25">
            <v>104740</v>
          </cell>
        </row>
        <row r="26">
          <cell r="B26">
            <v>185035</v>
          </cell>
        </row>
        <row r="27">
          <cell r="B27">
            <v>107000</v>
          </cell>
        </row>
      </sheetData>
      <sheetData sheetId="3">
        <row r="7">
          <cell r="H7">
            <v>188904.95</v>
          </cell>
        </row>
        <row r="16">
          <cell r="H16">
            <v>1537.1</v>
          </cell>
        </row>
        <row r="17">
          <cell r="H17">
            <v>2223.9499999999998</v>
          </cell>
        </row>
        <row r="18">
          <cell r="H18">
            <v>874</v>
          </cell>
        </row>
        <row r="19">
          <cell r="H19">
            <v>4635.0499999999993</v>
          </cell>
        </row>
      </sheetData>
      <sheetData sheetId="4">
        <row r="8">
          <cell r="G8">
            <v>162000</v>
          </cell>
        </row>
        <row r="9">
          <cell r="G9">
            <v>115000</v>
          </cell>
        </row>
        <row r="10">
          <cell r="G10">
            <v>110000</v>
          </cell>
        </row>
        <row r="11">
          <cell r="G11">
            <v>387000</v>
          </cell>
        </row>
      </sheetData>
      <sheetData sheetId="5">
        <row r="8">
          <cell r="F8">
            <v>6000</v>
          </cell>
        </row>
        <row r="9">
          <cell r="F9">
            <v>4372.5</v>
          </cell>
        </row>
        <row r="10">
          <cell r="F10">
            <v>6000</v>
          </cell>
        </row>
        <row r="11">
          <cell r="F11">
            <v>6000</v>
          </cell>
        </row>
        <row r="12">
          <cell r="F12">
            <v>610</v>
          </cell>
        </row>
        <row r="13">
          <cell r="F13">
            <v>7300</v>
          </cell>
        </row>
        <row r="14">
          <cell r="F14">
            <v>6000</v>
          </cell>
        </row>
        <row r="15">
          <cell r="F15">
            <v>9000</v>
          </cell>
        </row>
        <row r="16">
          <cell r="F16">
            <v>6000</v>
          </cell>
        </row>
        <row r="17">
          <cell r="F17">
            <v>13317.92</v>
          </cell>
        </row>
        <row r="18">
          <cell r="F18">
            <v>2700</v>
          </cell>
        </row>
        <row r="19">
          <cell r="F19">
            <v>6000</v>
          </cell>
        </row>
        <row r="20">
          <cell r="F20">
            <v>6000</v>
          </cell>
        </row>
        <row r="23">
          <cell r="F23">
            <v>6000</v>
          </cell>
        </row>
        <row r="26">
          <cell r="F26">
            <v>148300.41999999998</v>
          </cell>
        </row>
      </sheetData>
      <sheetData sheetId="6">
        <row r="6">
          <cell r="G6">
            <v>9400.15</v>
          </cell>
        </row>
      </sheetData>
      <sheetData sheetId="7"/>
      <sheetData sheetId="8">
        <row r="28">
          <cell r="D28">
            <v>27149850.530000001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</sheetNames>
    <sheetDataSet>
      <sheetData sheetId="0">
        <row r="48">
          <cell r="I48">
            <v>30000</v>
          </cell>
        </row>
      </sheetData>
      <sheetData sheetId="1">
        <row r="48">
          <cell r="I48">
            <v>0</v>
          </cell>
        </row>
      </sheetData>
      <sheetData sheetId="2">
        <row r="48">
          <cell r="I48">
            <v>0</v>
          </cell>
        </row>
      </sheetData>
      <sheetData sheetId="3">
        <row r="127">
          <cell r="R127">
            <v>7000</v>
          </cell>
        </row>
      </sheetData>
      <sheetData sheetId="4">
        <row r="127">
          <cell r="R127">
            <v>926695</v>
          </cell>
        </row>
      </sheetData>
      <sheetData sheetId="5">
        <row r="127">
          <cell r="R127">
            <v>0</v>
          </cell>
        </row>
      </sheetData>
      <sheetData sheetId="6">
        <row r="127">
          <cell r="R127">
            <v>0</v>
          </cell>
        </row>
      </sheetData>
      <sheetData sheetId="7">
        <row r="127">
          <cell r="R127">
            <v>1155000</v>
          </cell>
        </row>
      </sheetData>
      <sheetData sheetId="8">
        <row r="127">
          <cell r="R127">
            <v>0</v>
          </cell>
        </row>
      </sheetData>
      <sheetData sheetId="9">
        <row r="14">
          <cell r="Q14">
            <v>0</v>
          </cell>
        </row>
      </sheetData>
      <sheetData sheetId="10">
        <row r="14">
          <cell r="Q14">
            <v>0</v>
          </cell>
        </row>
      </sheetData>
      <sheetData sheetId="11">
        <row r="14">
          <cell r="Q14">
            <v>0</v>
          </cell>
        </row>
      </sheetData>
      <sheetData sheetId="12">
        <row r="15">
          <cell r="R15">
            <v>0</v>
          </cell>
        </row>
        <row r="16">
          <cell r="R16">
            <v>0</v>
          </cell>
        </row>
        <row r="24"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42000</v>
          </cell>
          <cell r="O49">
            <v>0</v>
          </cell>
          <cell r="P49">
            <v>20000</v>
          </cell>
        </row>
        <row r="50">
          <cell r="M50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>
            <v>2081695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9">
          <cell r="I129">
            <v>30000</v>
          </cell>
        </row>
      </sheetData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"/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ประมาณการ"/>
    </sheetNames>
    <sheetDataSet>
      <sheetData sheetId="0">
        <row r="8">
          <cell r="D8">
            <v>253148.75</v>
          </cell>
        </row>
      </sheetData>
      <sheetData sheetId="1">
        <row r="8">
          <cell r="D8">
            <v>253148.75</v>
          </cell>
        </row>
      </sheetData>
      <sheetData sheetId="2">
        <row r="16">
          <cell r="E16">
            <v>13555.1</v>
          </cell>
        </row>
      </sheetData>
      <sheetData sheetId="3">
        <row r="8">
          <cell r="D8">
            <v>15000</v>
          </cell>
        </row>
      </sheetData>
      <sheetData sheetId="4">
        <row r="16">
          <cell r="E16">
            <v>11955.45</v>
          </cell>
        </row>
      </sheetData>
      <sheetData sheetId="5">
        <row r="16">
          <cell r="E16">
            <v>8072.95</v>
          </cell>
        </row>
      </sheetData>
      <sheetData sheetId="6">
        <row r="8">
          <cell r="C8">
            <v>95000</v>
          </cell>
        </row>
      </sheetData>
      <sheetData sheetId="7">
        <row r="16">
          <cell r="E16">
            <v>151274.04999999999</v>
          </cell>
        </row>
      </sheetData>
      <sheetData sheetId="8">
        <row r="16">
          <cell r="E16">
            <v>84676.3</v>
          </cell>
        </row>
      </sheetData>
      <sheetData sheetId="9">
        <row r="16">
          <cell r="E16">
            <v>31348.800000000003</v>
          </cell>
        </row>
      </sheetData>
      <sheetData sheetId="10">
        <row r="16">
          <cell r="E16">
            <v>5000</v>
          </cell>
        </row>
      </sheetData>
      <sheetData sheetId="11">
        <row r="16">
          <cell r="E16">
            <v>5346.75</v>
          </cell>
        </row>
      </sheetData>
      <sheetData sheetId="12">
        <row r="16">
          <cell r="C16">
            <v>151000</v>
          </cell>
        </row>
      </sheetData>
      <sheetData sheetId="13">
        <row r="8">
          <cell r="C8">
            <v>95000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ปี+ตั้งรอคืนจังหวัด"/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ประมาณการ"/>
    </sheetNames>
    <sheetDataSet>
      <sheetData sheetId="0">
        <row r="8">
          <cell r="D8">
            <v>129285</v>
          </cell>
        </row>
        <row r="133">
          <cell r="C133">
            <v>0</v>
          </cell>
        </row>
      </sheetData>
      <sheetData sheetId="1">
        <row r="16">
          <cell r="E16">
            <v>16975.7</v>
          </cell>
        </row>
      </sheetData>
      <sheetData sheetId="2">
        <row r="16">
          <cell r="E16">
            <v>5512.6</v>
          </cell>
        </row>
      </sheetData>
      <sheetData sheetId="3">
        <row r="16">
          <cell r="E16">
            <v>1580.8</v>
          </cell>
        </row>
      </sheetData>
      <sheetData sheetId="4">
        <row r="16">
          <cell r="E16">
            <v>12432.25</v>
          </cell>
        </row>
      </sheetData>
      <sheetData sheetId="5">
        <row r="16">
          <cell r="E16">
            <v>1273.9499999999998</v>
          </cell>
        </row>
      </sheetData>
      <sheetData sheetId="6">
        <row r="16">
          <cell r="E16">
            <v>22754.799999999999</v>
          </cell>
        </row>
      </sheetData>
      <sheetData sheetId="7">
        <row r="16">
          <cell r="E16">
            <v>42895.6</v>
          </cell>
        </row>
      </sheetData>
      <sheetData sheetId="8">
        <row r="16">
          <cell r="E16">
            <v>120848.65</v>
          </cell>
        </row>
      </sheetData>
      <sheetData sheetId="9">
        <row r="16">
          <cell r="E16">
            <v>36141.449999999997</v>
          </cell>
        </row>
      </sheetData>
      <sheetData sheetId="10">
        <row r="16">
          <cell r="E16">
            <v>35709.550000000003</v>
          </cell>
        </row>
      </sheetData>
      <sheetData sheetId="11">
        <row r="16">
          <cell r="E16">
            <v>21.85</v>
          </cell>
        </row>
      </sheetData>
      <sheetData sheetId="12">
        <row r="16">
          <cell r="E16">
            <v>56.05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  <sheetName val="e-plan"/>
    </sheetNames>
    <sheetDataSet>
      <sheetData sheetId="0"/>
      <sheetData sheetId="1"/>
      <sheetData sheetId="2"/>
      <sheetData sheetId="3"/>
      <sheetData sheetId="4"/>
      <sheetData sheetId="5">
        <row r="154">
          <cell r="T154">
            <v>209060</v>
          </cell>
        </row>
      </sheetData>
      <sheetData sheetId="6">
        <row r="154">
          <cell r="T154">
            <v>209060</v>
          </cell>
        </row>
      </sheetData>
      <sheetData sheetId="7">
        <row r="154">
          <cell r="T154">
            <v>209060</v>
          </cell>
        </row>
      </sheetData>
      <sheetData sheetId="8">
        <row r="154">
          <cell r="T154">
            <v>209060</v>
          </cell>
        </row>
      </sheetData>
      <sheetData sheetId="9">
        <row r="154">
          <cell r="T154">
            <v>209060</v>
          </cell>
        </row>
      </sheetData>
      <sheetData sheetId="10"/>
      <sheetData sheetId="11"/>
      <sheetData sheetId="12">
        <row r="14">
          <cell r="S14">
            <v>7055528.21</v>
          </cell>
        </row>
        <row r="22">
          <cell r="C22">
            <v>2508720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9">
          <cell r="C29">
            <v>2153880</v>
          </cell>
          <cell r="D29">
            <v>155640</v>
          </cell>
          <cell r="E29">
            <v>1434600</v>
          </cell>
          <cell r="F29">
            <v>0</v>
          </cell>
          <cell r="G29">
            <v>501720</v>
          </cell>
          <cell r="H29">
            <v>297474.5</v>
          </cell>
          <cell r="I29">
            <v>0</v>
          </cell>
          <cell r="J29">
            <v>0</v>
          </cell>
          <cell r="K29">
            <v>991680</v>
          </cell>
          <cell r="L29">
            <v>0</v>
          </cell>
          <cell r="M29">
            <v>0</v>
          </cell>
          <cell r="N29">
            <v>285360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8">
          <cell r="C38">
            <v>18912</v>
          </cell>
          <cell r="D38">
            <v>0</v>
          </cell>
          <cell r="E38">
            <v>10000</v>
          </cell>
          <cell r="F38">
            <v>0</v>
          </cell>
          <cell r="G38">
            <v>2400</v>
          </cell>
          <cell r="H38">
            <v>0</v>
          </cell>
          <cell r="I38">
            <v>0</v>
          </cell>
          <cell r="J38">
            <v>0</v>
          </cell>
          <cell r="K38">
            <v>93600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4">
          <cell r="C44">
            <v>1030237.6799999999</v>
          </cell>
          <cell r="D44">
            <v>2200</v>
          </cell>
          <cell r="E44">
            <v>131172</v>
          </cell>
          <cell r="F44">
            <v>27738</v>
          </cell>
          <cell r="G44">
            <v>51606</v>
          </cell>
          <cell r="H44">
            <v>811357</v>
          </cell>
          <cell r="I44">
            <v>1997</v>
          </cell>
          <cell r="J44">
            <v>550066</v>
          </cell>
          <cell r="K44">
            <v>286960</v>
          </cell>
          <cell r="L44">
            <v>0</v>
          </cell>
          <cell r="M44">
            <v>613800</v>
          </cell>
          <cell r="N44">
            <v>33000</v>
          </cell>
          <cell r="O44">
            <v>0</v>
          </cell>
          <cell r="P44">
            <v>0</v>
          </cell>
          <cell r="Q44">
            <v>55320</v>
          </cell>
          <cell r="R44">
            <v>0</v>
          </cell>
        </row>
        <row r="63">
          <cell r="C63">
            <v>221655</v>
          </cell>
          <cell r="E63">
            <v>43090.899999999994</v>
          </cell>
          <cell r="F63">
            <v>31000</v>
          </cell>
          <cell r="G63">
            <v>23395</v>
          </cell>
          <cell r="H63">
            <v>260549.43000000005</v>
          </cell>
          <cell r="I63">
            <v>24570</v>
          </cell>
          <cell r="J63">
            <v>14829</v>
          </cell>
          <cell r="K63">
            <v>501538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70">
          <cell r="C70">
            <v>309080.67000000004</v>
          </cell>
          <cell r="E70">
            <v>15408</v>
          </cell>
          <cell r="F70">
            <v>0</v>
          </cell>
          <cell r="G70">
            <v>15408</v>
          </cell>
          <cell r="H70">
            <v>2262.17</v>
          </cell>
          <cell r="I70">
            <v>37878</v>
          </cell>
          <cell r="J70">
            <v>0</v>
          </cell>
          <cell r="K70">
            <v>15408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90">
          <cell r="C90">
            <v>126500</v>
          </cell>
          <cell r="E90">
            <v>14100</v>
          </cell>
          <cell r="F90">
            <v>0</v>
          </cell>
          <cell r="G90">
            <v>0</v>
          </cell>
          <cell r="H90">
            <v>45370</v>
          </cell>
          <cell r="I90">
            <v>0</v>
          </cell>
          <cell r="J90">
            <v>0</v>
          </cell>
          <cell r="K90">
            <v>144200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104"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1566000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8"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15">
          <cell r="C115">
            <v>55000</v>
          </cell>
          <cell r="E115">
            <v>0</v>
          </cell>
          <cell r="F115">
            <v>0</v>
          </cell>
          <cell r="G115">
            <v>0</v>
          </cell>
          <cell r="H115">
            <v>233660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25000</v>
          </cell>
          <cell r="O115">
            <v>0</v>
          </cell>
          <cell r="P115">
            <v>0</v>
          </cell>
          <cell r="Q115">
            <v>44750.64</v>
          </cell>
          <cell r="R115">
            <v>0</v>
          </cell>
        </row>
        <row r="117">
          <cell r="E117">
            <v>8230196.25</v>
          </cell>
          <cell r="F117">
            <v>58738</v>
          </cell>
          <cell r="I117">
            <v>2309647.1</v>
          </cell>
          <cell r="J117">
            <v>564895</v>
          </cell>
          <cell r="M117">
            <v>4213186</v>
          </cell>
          <cell r="O117">
            <v>343360</v>
          </cell>
          <cell r="Q117">
            <v>100070.64</v>
          </cell>
          <cell r="R117">
            <v>0</v>
          </cell>
          <cell r="S117">
            <v>7055528.21</v>
          </cell>
        </row>
        <row r="299">
          <cell r="T299">
            <v>297474.5</v>
          </cell>
        </row>
      </sheetData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  <sheetName val="มิ.ค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2">
          <cell r="C92">
            <v>0</v>
          </cell>
        </row>
        <row r="146">
          <cell r="U146">
            <v>14008</v>
          </cell>
        </row>
        <row r="154">
          <cell r="U154">
            <v>437440</v>
          </cell>
        </row>
        <row r="162">
          <cell r="U162">
            <v>894583</v>
          </cell>
        </row>
        <row r="170">
          <cell r="U170">
            <v>9000</v>
          </cell>
        </row>
        <row r="176">
          <cell r="U176">
            <v>152843.25</v>
          </cell>
        </row>
        <row r="195">
          <cell r="U195">
            <v>11095</v>
          </cell>
        </row>
        <row r="202">
          <cell r="U202">
            <v>59337.08</v>
          </cell>
        </row>
        <row r="222">
          <cell r="U222">
            <v>0</v>
          </cell>
        </row>
        <row r="236">
          <cell r="U236">
            <v>0</v>
          </cell>
        </row>
        <row r="240">
          <cell r="U240">
            <v>0</v>
          </cell>
        </row>
        <row r="247">
          <cell r="T247">
            <v>0</v>
          </cell>
        </row>
      </sheetData>
      <sheetData sheetId="11" refreshError="1"/>
      <sheetData sheetId="12">
        <row r="14">
          <cell r="S14">
            <v>539008</v>
          </cell>
        </row>
        <row r="116">
          <cell r="T116">
            <v>16318083.120000001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</sheetNames>
    <sheetDataSet>
      <sheetData sheetId="0">
        <row r="5">
          <cell r="I5">
            <v>0</v>
          </cell>
        </row>
        <row r="6">
          <cell r="I6">
            <v>383.34000000000697</v>
          </cell>
        </row>
        <row r="7">
          <cell r="I7">
            <v>10645186.189999999</v>
          </cell>
        </row>
        <row r="8">
          <cell r="I8">
            <v>2112779.2599999998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13.950000000000292</v>
          </cell>
        </row>
        <row r="12">
          <cell r="I12">
            <v>0</v>
          </cell>
        </row>
        <row r="13">
          <cell r="I13">
            <v>51700.000000000138</v>
          </cell>
        </row>
        <row r="14">
          <cell r="I14">
            <v>0</v>
          </cell>
        </row>
        <row r="15">
          <cell r="I15">
            <v>2199.25</v>
          </cell>
        </row>
        <row r="16">
          <cell r="I16">
            <v>0</v>
          </cell>
        </row>
        <row r="17">
          <cell r="I17">
            <v>26877.01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1057501.3600000001</v>
          </cell>
        </row>
        <row r="21">
          <cell r="I21">
            <v>51700</v>
          </cell>
        </row>
        <row r="22">
          <cell r="J22">
            <v>191095</v>
          </cell>
        </row>
        <row r="23">
          <cell r="J23">
            <v>-9.4587448984384537E-11</v>
          </cell>
        </row>
        <row r="24">
          <cell r="J24">
            <v>0</v>
          </cell>
        </row>
        <row r="25">
          <cell r="J25">
            <v>455147.56999999995</v>
          </cell>
        </row>
        <row r="26">
          <cell r="J26">
            <v>4071013.83</v>
          </cell>
        </row>
        <row r="27">
          <cell r="J27">
            <v>6814674.5899999999</v>
          </cell>
        </row>
        <row r="28">
          <cell r="J28">
            <v>51700</v>
          </cell>
        </row>
        <row r="29">
          <cell r="J29">
            <v>27414025.569999997</v>
          </cell>
        </row>
        <row r="30">
          <cell r="I30">
            <v>523928.21</v>
          </cell>
        </row>
        <row r="31">
          <cell r="I31">
            <v>6531600</v>
          </cell>
        </row>
        <row r="32">
          <cell r="I32">
            <v>2508720</v>
          </cell>
        </row>
        <row r="33">
          <cell r="I33">
            <v>5522880</v>
          </cell>
        </row>
        <row r="34">
          <cell r="I34">
            <v>297474.5</v>
          </cell>
        </row>
        <row r="35">
          <cell r="I35">
            <v>124912</v>
          </cell>
        </row>
        <row r="36">
          <cell r="I36">
            <v>0</v>
          </cell>
        </row>
        <row r="37">
          <cell r="I37">
            <v>2309473.6799999997</v>
          </cell>
        </row>
        <row r="38">
          <cell r="I38">
            <v>1285980</v>
          </cell>
        </row>
        <row r="39">
          <cell r="I39">
            <v>938068.45</v>
          </cell>
        </row>
        <row r="40">
          <cell r="I40">
            <v>182558.88000000003</v>
          </cell>
        </row>
        <row r="41">
          <cell r="I41">
            <v>395444.84</v>
          </cell>
        </row>
        <row r="42">
          <cell r="I42">
            <v>0</v>
          </cell>
        </row>
        <row r="43">
          <cell r="I43">
            <v>75470</v>
          </cell>
        </row>
        <row r="44">
          <cell r="I44">
            <v>254700</v>
          </cell>
        </row>
        <row r="45">
          <cell r="I45">
            <v>7000</v>
          </cell>
        </row>
        <row r="46">
          <cell r="I46">
            <v>1559000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20000</v>
          </cell>
        </row>
        <row r="50">
          <cell r="I50">
            <v>338410.64</v>
          </cell>
        </row>
        <row r="51">
          <cell r="I51">
            <v>2081695</v>
          </cell>
        </row>
        <row r="52">
          <cell r="I52">
            <v>92000</v>
          </cell>
        </row>
      </sheetData>
      <sheetData sheetId="1"/>
      <sheetData sheetId="2">
        <row r="5">
          <cell r="I5">
            <v>0</v>
          </cell>
        </row>
      </sheetData>
      <sheetData sheetId="3">
        <row r="5">
          <cell r="I5">
            <v>0</v>
          </cell>
        </row>
      </sheetData>
      <sheetData sheetId="4">
        <row r="5">
          <cell r="I5">
            <v>0</v>
          </cell>
        </row>
      </sheetData>
      <sheetData sheetId="5">
        <row r="5">
          <cell r="I5">
            <v>0</v>
          </cell>
        </row>
      </sheetData>
      <sheetData sheetId="6">
        <row r="5">
          <cell r="I5">
            <v>0</v>
          </cell>
        </row>
      </sheetData>
      <sheetData sheetId="7">
        <row r="5">
          <cell r="I5">
            <v>0</v>
          </cell>
        </row>
      </sheetData>
      <sheetData sheetId="8">
        <row r="5">
          <cell r="I5">
            <v>0</v>
          </cell>
        </row>
      </sheetData>
      <sheetData sheetId="9">
        <row r="5">
          <cell r="I5">
            <v>0</v>
          </cell>
        </row>
      </sheetData>
      <sheetData sheetId="10">
        <row r="5">
          <cell r="I5">
            <v>0</v>
          </cell>
        </row>
      </sheetData>
      <sheetData sheetId="11">
        <row r="5">
          <cell r="I5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หน้า2ก.ย."/>
      <sheetName val="ส.ค."/>
      <sheetName val="หน้า2ส.ค."/>
      <sheetName val="ก.ค."/>
      <sheetName val="หน้า2ก.ค."/>
      <sheetName val="มิ.ย."/>
      <sheetName val="หน้า2มิ.ย."/>
      <sheetName val="พ.ค."/>
      <sheetName val="หน้า2พ.ค."/>
      <sheetName val="เม.ย."/>
      <sheetName val="หน้า2เม.ย."/>
      <sheetName val="มี.ค."/>
      <sheetName val="หน้า2มี.ค."/>
      <sheetName val="ก.พ."/>
      <sheetName val="หน้า2ก.พ."/>
      <sheetName val="ม.ค."/>
      <sheetName val="หน้า2ม.ค."/>
      <sheetName val="ธ.ค."/>
      <sheetName val="หน้า2ธ.ค."/>
      <sheetName val="พ.ย."/>
      <sheetName val="หน้า2พ.ย."/>
      <sheetName val="ต.ค."/>
      <sheetName val="หน้า2ต.ค."/>
      <sheetName val="หน้า2เปล่า"/>
    </sheetNames>
    <sheetDataSet>
      <sheetData sheetId="0">
        <row r="753">
          <cell r="L753">
            <v>12464174.260000004</v>
          </cell>
        </row>
      </sheetData>
      <sheetData sheetId="1"/>
      <sheetData sheetId="2">
        <row r="879">
          <cell r="J879">
            <v>190963.45</v>
          </cell>
        </row>
      </sheetData>
      <sheetData sheetId="3"/>
      <sheetData sheetId="4">
        <row r="750">
          <cell r="J750">
            <v>190963.45</v>
          </cell>
        </row>
      </sheetData>
      <sheetData sheetId="5"/>
      <sheetData sheetId="6">
        <row r="753">
          <cell r="L753">
            <v>13095087.640000002</v>
          </cell>
        </row>
      </sheetData>
      <sheetData sheetId="7"/>
      <sheetData sheetId="8">
        <row r="745">
          <cell r="J745">
            <v>12303244.720000003</v>
          </cell>
        </row>
      </sheetData>
      <sheetData sheetId="9"/>
      <sheetData sheetId="10">
        <row r="707">
          <cell r="J707">
            <v>189638.95</v>
          </cell>
        </row>
      </sheetData>
      <sheetData sheetId="11"/>
      <sheetData sheetId="12">
        <row r="965">
          <cell r="J965">
            <v>189304.95</v>
          </cell>
        </row>
      </sheetData>
      <sheetData sheetId="13"/>
      <sheetData sheetId="14">
        <row r="838">
          <cell r="J838">
            <v>9317122.9199999962</v>
          </cell>
        </row>
      </sheetData>
      <sheetData sheetId="15"/>
      <sheetData sheetId="16"/>
      <sheetData sheetId="17"/>
      <sheetData sheetId="18">
        <row r="752">
          <cell r="J752">
            <v>9854277.2599999942</v>
          </cell>
        </row>
      </sheetData>
      <sheetData sheetId="19"/>
      <sheetData sheetId="20"/>
      <sheetData sheetId="21"/>
      <sheetData sheetId="22">
        <row r="751">
          <cell r="J751">
            <v>188904.95</v>
          </cell>
        </row>
      </sheetData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ิดบัญชี"/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Sheet2"/>
    </sheetNames>
    <sheetDataSet>
      <sheetData sheetId="0">
        <row r="34">
          <cell r="E34">
            <v>523928.20999999996</v>
          </cell>
        </row>
        <row r="35">
          <cell r="E35">
            <v>6531600</v>
          </cell>
        </row>
        <row r="36">
          <cell r="E36">
            <v>2508720</v>
          </cell>
        </row>
        <row r="37">
          <cell r="E37">
            <v>5522880</v>
          </cell>
        </row>
        <row r="38">
          <cell r="E38">
            <v>124912</v>
          </cell>
        </row>
        <row r="39">
          <cell r="E39">
            <v>2309473.6799999997</v>
          </cell>
        </row>
        <row r="40">
          <cell r="E40">
            <v>1285980</v>
          </cell>
        </row>
        <row r="41">
          <cell r="E41">
            <v>938068.45</v>
          </cell>
        </row>
        <row r="42">
          <cell r="E42">
            <v>182558.88000000003</v>
          </cell>
        </row>
        <row r="43">
          <cell r="E43">
            <v>395444.84</v>
          </cell>
        </row>
        <row r="45">
          <cell r="E45">
            <v>75470</v>
          </cell>
        </row>
        <row r="46">
          <cell r="E46">
            <v>254700</v>
          </cell>
        </row>
        <row r="47">
          <cell r="E47">
            <v>7000</v>
          </cell>
        </row>
        <row r="48">
          <cell r="E48">
            <v>1559000</v>
          </cell>
        </row>
        <row r="51">
          <cell r="E51">
            <v>20000</v>
          </cell>
        </row>
        <row r="52">
          <cell r="E52">
            <v>338410.64</v>
          </cell>
        </row>
        <row r="53">
          <cell r="E53">
            <v>297474.5</v>
          </cell>
        </row>
        <row r="54">
          <cell r="E54">
            <v>92000</v>
          </cell>
        </row>
        <row r="55">
          <cell r="E55">
            <v>2081695</v>
          </cell>
        </row>
        <row r="56">
          <cell r="E56">
            <v>1773532.0275000008</v>
          </cell>
        </row>
        <row r="57">
          <cell r="E57">
            <v>591177.34250000026</v>
          </cell>
        </row>
        <row r="60">
          <cell r="D60">
            <v>27414025.57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</sheetNames>
    <sheetDataSet>
      <sheetData sheetId="0">
        <row r="7">
          <cell r="R7">
            <v>500</v>
          </cell>
        </row>
      </sheetData>
      <sheetData sheetId="1">
        <row r="7">
          <cell r="R7">
            <v>500</v>
          </cell>
        </row>
      </sheetData>
      <sheetData sheetId="2">
        <row r="7">
          <cell r="R7">
            <v>1000</v>
          </cell>
        </row>
      </sheetData>
      <sheetData sheetId="3">
        <row r="7">
          <cell r="R7">
            <v>0</v>
          </cell>
        </row>
      </sheetData>
      <sheetData sheetId="4">
        <row r="7">
          <cell r="R7">
            <v>500</v>
          </cell>
        </row>
      </sheetData>
      <sheetData sheetId="5">
        <row r="7">
          <cell r="R7">
            <v>1000</v>
          </cell>
        </row>
      </sheetData>
      <sheetData sheetId="6">
        <row r="7">
          <cell r="R7">
            <v>0</v>
          </cell>
        </row>
      </sheetData>
      <sheetData sheetId="7">
        <row r="7">
          <cell r="R7">
            <v>500</v>
          </cell>
        </row>
      </sheetData>
      <sheetData sheetId="8">
        <row r="7">
          <cell r="R7">
            <v>500</v>
          </cell>
        </row>
      </sheetData>
      <sheetData sheetId="9">
        <row r="7">
          <cell r="R7">
            <v>500</v>
          </cell>
        </row>
      </sheetData>
      <sheetData sheetId="10">
        <row r="7">
          <cell r="R7">
            <v>1000</v>
          </cell>
        </row>
        <row r="128">
          <cell r="R128">
            <v>1134504.25</v>
          </cell>
        </row>
      </sheetData>
      <sheetData sheetId="11">
        <row r="8">
          <cell r="R8">
            <v>0</v>
          </cell>
        </row>
      </sheetData>
      <sheetData sheetId="12">
        <row r="15">
          <cell r="R15">
            <v>6030900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ครุภัณฑ์คอมพิวเตอร์"/>
      <sheetName val="2.ครุภัณฑ์งานบ้านงานครัว"/>
      <sheetName val="3.ครุภัณฑ์โฆษณาและเผยแพร่"/>
      <sheetName val="4.ครุภัณฑ์สำรวจ"/>
      <sheetName val="5.ครุภัณฑ์ดับเพลิง"/>
      <sheetName val="6.ที่ดิน"/>
      <sheetName val="7.ครุภัณฑ์ไฟฟ้าและวิทยุ (ปป)"/>
      <sheetName val="7.ครุภัณฑ์ไฟฟ้าและวิทยุ"/>
      <sheetName val="8.ครุภัณฑ์ก่อสร้าง"/>
      <sheetName val="9.ครุภัณฑ์เกษตร"/>
      <sheetName val="10.ครุภัณฑ์ยานพาหนะและขนส่ง"/>
      <sheetName val="ครุภัณฑ์การศึกษา 11"/>
      <sheetName val="ครุภัณฑ์กีฬา (ปป)"/>
      <sheetName val="ครุภัณฑ์กีฬา"/>
      <sheetName val="ครุภัณฑ์อื่น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C3">
            <v>185035</v>
          </cell>
        </row>
        <row r="4">
          <cell r="C4">
            <v>29769</v>
          </cell>
        </row>
        <row r="5">
          <cell r="C5">
            <v>253010</v>
          </cell>
        </row>
        <row r="6">
          <cell r="C6">
            <v>104740</v>
          </cell>
        </row>
        <row r="7">
          <cell r="C7">
            <v>19600</v>
          </cell>
        </row>
        <row r="9">
          <cell r="C9">
            <v>426930</v>
          </cell>
        </row>
        <row r="10">
          <cell r="C10">
            <v>65200</v>
          </cell>
        </row>
        <row r="11">
          <cell r="C11">
            <v>17500</v>
          </cell>
        </row>
        <row r="12">
          <cell r="C12">
            <v>3362800</v>
          </cell>
        </row>
        <row r="13">
          <cell r="C13">
            <v>25500</v>
          </cell>
        </row>
        <row r="14">
          <cell r="C14">
            <v>4320400</v>
          </cell>
        </row>
        <row r="15">
          <cell r="C15">
            <v>107000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หน้า2ก.ย."/>
      <sheetName val="ส.ค."/>
      <sheetName val="หน้า2ส.ค."/>
      <sheetName val="ก.ค."/>
      <sheetName val="หน้า2ก.ค."/>
      <sheetName val="มิ.ย."/>
      <sheetName val="หน้า2มิ.ย."/>
      <sheetName val="พ.ค."/>
      <sheetName val="หน้า2พ.ค."/>
      <sheetName val="เม.ย."/>
      <sheetName val="หน้า2เม.ย."/>
      <sheetName val="มี.ค."/>
      <sheetName val="หน้า2มี.ค."/>
      <sheetName val="ก.พ."/>
      <sheetName val="หน้า2ก.พ."/>
      <sheetName val="ม.ค."/>
      <sheetName val="หน้า2ม.ค."/>
      <sheetName val="ธ.ค."/>
      <sheetName val="หน้า2ธ.ค."/>
      <sheetName val="พ.ย."/>
      <sheetName val="หน้า2พ.ย."/>
      <sheetName val="ต.ค."/>
      <sheetName val="หน้า2ต.ค."/>
      <sheetName val="หน้า2เปล่า"/>
    </sheetNames>
    <sheetDataSet>
      <sheetData sheetId="0">
        <row r="753">
          <cell r="L753">
            <v>12758362.739999998</v>
          </cell>
        </row>
      </sheetData>
      <sheetData sheetId="1"/>
      <sheetData sheetId="2">
        <row r="753">
          <cell r="L753">
            <v>12571785.859999996</v>
          </cell>
        </row>
      </sheetData>
      <sheetData sheetId="3"/>
      <sheetData sheetId="4">
        <row r="753">
          <cell r="L753">
            <v>13994590.129999995</v>
          </cell>
        </row>
      </sheetData>
      <sheetData sheetId="5"/>
      <sheetData sheetId="6">
        <row r="753">
          <cell r="L753">
            <v>13024510.709999999</v>
          </cell>
        </row>
      </sheetData>
      <sheetData sheetId="7"/>
      <sheetData sheetId="8">
        <row r="753">
          <cell r="L753">
            <v>12398520.74</v>
          </cell>
        </row>
      </sheetData>
      <sheetData sheetId="9"/>
      <sheetData sheetId="10">
        <row r="753">
          <cell r="L753">
            <v>13333536.819999997</v>
          </cell>
        </row>
      </sheetData>
      <sheetData sheetId="11"/>
      <sheetData sheetId="12">
        <row r="753">
          <cell r="L753">
            <v>13030638.26</v>
          </cell>
        </row>
      </sheetData>
      <sheetData sheetId="13"/>
      <sheetData sheetId="14">
        <row r="623">
          <cell r="J623">
            <v>11403325.379999995</v>
          </cell>
        </row>
      </sheetData>
      <sheetData sheetId="15"/>
      <sheetData sheetId="16">
        <row r="753">
          <cell r="L753">
            <v>13065160.940000001</v>
          </cell>
        </row>
      </sheetData>
      <sheetData sheetId="17"/>
      <sheetData sheetId="18">
        <row r="753">
          <cell r="L753">
            <v>12075581.500000002</v>
          </cell>
        </row>
      </sheetData>
      <sheetData sheetId="19"/>
      <sheetData sheetId="20">
        <row r="753">
          <cell r="L753">
            <v>13370504.619999999</v>
          </cell>
        </row>
      </sheetData>
      <sheetData sheetId="21"/>
      <sheetData sheetId="22">
        <row r="753">
          <cell r="L753">
            <v>14311233.390000002</v>
          </cell>
        </row>
      </sheetData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Sheet1"/>
    </sheetNames>
    <sheetDataSet>
      <sheetData sheetId="0">
        <row r="6">
          <cell r="E6">
            <v>9459.0300000000007</v>
          </cell>
        </row>
        <row r="7">
          <cell r="E7">
            <v>24359.200000000008</v>
          </cell>
        </row>
        <row r="8">
          <cell r="E8">
            <v>309566.5</v>
          </cell>
        </row>
        <row r="9">
          <cell r="E9">
            <v>383.34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17.5</v>
          </cell>
        </row>
        <row r="13">
          <cell r="E13">
            <v>500</v>
          </cell>
        </row>
        <row r="14">
          <cell r="E14">
            <v>58506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30000</v>
          </cell>
        </row>
        <row r="18">
          <cell r="E18">
            <v>4.3653969328261155E-13</v>
          </cell>
        </row>
        <row r="19">
          <cell r="E19">
            <v>1400</v>
          </cell>
        </row>
      </sheetData>
      <sheetData sheetId="1">
        <row r="20">
          <cell r="C20">
            <v>255188.38</v>
          </cell>
        </row>
      </sheetData>
      <sheetData sheetId="2">
        <row r="20">
          <cell r="C20">
            <v>212646.29</v>
          </cell>
        </row>
      </sheetData>
      <sheetData sheetId="3">
        <row r="20">
          <cell r="C20">
            <v>229120.71</v>
          </cell>
        </row>
      </sheetData>
      <sheetData sheetId="4">
        <row r="20">
          <cell r="C20">
            <v>229703.15</v>
          </cell>
        </row>
      </sheetData>
      <sheetData sheetId="5">
        <row r="20">
          <cell r="C20">
            <v>229833.53</v>
          </cell>
        </row>
      </sheetData>
      <sheetData sheetId="6">
        <row r="20">
          <cell r="C20">
            <v>272058.91000000003</v>
          </cell>
        </row>
      </sheetData>
      <sheetData sheetId="7">
        <row r="20">
          <cell r="C20">
            <v>272937.52999999997</v>
          </cell>
        </row>
      </sheetData>
      <sheetData sheetId="8">
        <row r="20">
          <cell r="C20">
            <v>222884.54</v>
          </cell>
        </row>
      </sheetData>
      <sheetData sheetId="9">
        <row r="20">
          <cell r="C20">
            <v>568346.89</v>
          </cell>
        </row>
      </sheetData>
      <sheetData sheetId="10">
        <row r="20">
          <cell r="C20">
            <v>224775.72</v>
          </cell>
        </row>
      </sheetData>
      <sheetData sheetId="11">
        <row r="20">
          <cell r="C20">
            <v>334127.82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ิดบัญชี"/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</sheetNames>
    <sheetDataSet>
      <sheetData sheetId="0">
        <row r="33">
          <cell r="E33">
            <v>467008</v>
          </cell>
        </row>
        <row r="57">
          <cell r="F57">
            <v>352884.38000000268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S15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</sheetNames>
    <sheetDataSet>
      <sheetData sheetId="0">
        <row r="127">
          <cell r="T127">
            <v>200000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8">
          <cell r="L108">
            <v>200000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ประมาณการ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S14">
            <v>7322650</v>
          </cell>
        </row>
        <row r="22">
          <cell r="T22">
            <v>2624640</v>
          </cell>
        </row>
        <row r="29">
          <cell r="T29">
            <v>6372460</v>
          </cell>
        </row>
        <row r="38">
          <cell r="T38">
            <v>214000</v>
          </cell>
        </row>
        <row r="44">
          <cell r="T44">
            <v>4001640</v>
          </cell>
        </row>
        <row r="63">
          <cell r="T63">
            <v>1372560</v>
          </cell>
        </row>
        <row r="70">
          <cell r="T70">
            <v>535720</v>
          </cell>
        </row>
        <row r="90">
          <cell r="T90">
            <v>591500</v>
          </cell>
        </row>
        <row r="104">
          <cell r="T104">
            <v>1672330</v>
          </cell>
        </row>
        <row r="108">
          <cell r="T108">
            <v>15000</v>
          </cell>
        </row>
        <row r="115">
          <cell r="T115">
            <v>345000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.ย."/>
      <sheetName val="ส.ค."/>
      <sheetName val="ก.ค."/>
      <sheetName val="มิ.ย."/>
      <sheetName val="พ.ค."/>
      <sheetName val="เม.ย."/>
      <sheetName val="มี.ค."/>
      <sheetName val="ก.พ."/>
      <sheetName val="ม.ค."/>
      <sheetName val="ธ.ค."/>
      <sheetName val="พ.ย."/>
      <sheetName val="ต.ค."/>
      <sheetName val="รวม"/>
      <sheetName val="Sheet1"/>
      <sheetName val="Sheet2"/>
    </sheetNames>
    <sheetDataSet>
      <sheetData sheetId="0">
        <row r="155">
          <cell r="T155">
            <v>0</v>
          </cell>
        </row>
      </sheetData>
      <sheetData sheetId="1">
        <row r="155">
          <cell r="T155">
            <v>55000</v>
          </cell>
        </row>
      </sheetData>
      <sheetData sheetId="2">
        <row r="155">
          <cell r="T155">
            <v>0</v>
          </cell>
        </row>
      </sheetData>
      <sheetData sheetId="3">
        <row r="155">
          <cell r="T155">
            <v>0</v>
          </cell>
        </row>
      </sheetData>
      <sheetData sheetId="4">
        <row r="155">
          <cell r="T155">
            <v>0</v>
          </cell>
        </row>
      </sheetData>
      <sheetData sheetId="5">
        <row r="155">
          <cell r="T155">
            <v>0</v>
          </cell>
        </row>
      </sheetData>
      <sheetData sheetId="6">
        <row r="155">
          <cell r="T155">
            <v>0</v>
          </cell>
        </row>
      </sheetData>
      <sheetData sheetId="7">
        <row r="155">
          <cell r="T155">
            <v>0</v>
          </cell>
        </row>
      </sheetData>
      <sheetData sheetId="8">
        <row r="155">
          <cell r="T155">
            <v>0</v>
          </cell>
        </row>
      </sheetData>
      <sheetData sheetId="9">
        <row r="155">
          <cell r="T155">
            <v>0</v>
          </cell>
        </row>
      </sheetData>
      <sheetData sheetId="10">
        <row r="155">
          <cell r="T155">
            <v>0</v>
          </cell>
        </row>
      </sheetData>
      <sheetData sheetId="11">
        <row r="155">
          <cell r="T155">
            <v>0</v>
          </cell>
        </row>
      </sheetData>
      <sheetData sheetId="12">
        <row r="16">
          <cell r="S16">
            <v>55000</v>
          </cell>
        </row>
        <row r="24">
          <cell r="T24">
            <v>0</v>
          </cell>
        </row>
        <row r="31">
          <cell r="T31">
            <v>-186330</v>
          </cell>
        </row>
        <row r="40">
          <cell r="T40">
            <v>-34300</v>
          </cell>
        </row>
        <row r="46">
          <cell r="T46">
            <v>207910</v>
          </cell>
        </row>
        <row r="65">
          <cell r="T65">
            <v>211520</v>
          </cell>
        </row>
        <row r="72">
          <cell r="T72">
            <v>-105000</v>
          </cell>
        </row>
        <row r="92">
          <cell r="T92">
            <v>-165800</v>
          </cell>
        </row>
        <row r="106">
          <cell r="T106">
            <v>7000</v>
          </cell>
        </row>
        <row r="110">
          <cell r="T110">
            <v>-10000</v>
          </cell>
        </row>
        <row r="117">
          <cell r="T117">
            <v>20000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zoomScale="80" zoomScaleNormal="80" workbookViewId="0">
      <selection activeCell="G4" sqref="G4"/>
    </sheetView>
  </sheetViews>
  <sheetFormatPr defaultRowHeight="24.75" x14ac:dyDescent="0.6"/>
  <cols>
    <col min="1" max="1" width="9.140625" style="40"/>
    <col min="2" max="2" width="7" style="40" customWidth="1"/>
    <col min="3" max="3" width="9.140625" style="40"/>
    <col min="4" max="4" width="9.28515625" style="40" customWidth="1"/>
    <col min="5" max="6" width="9.140625" style="40"/>
    <col min="7" max="7" width="9.140625" style="43"/>
    <col min="8" max="8" width="12.7109375" style="40" bestFit="1" customWidth="1"/>
    <col min="9" max="9" width="21.140625" style="40" customWidth="1"/>
    <col min="10" max="10" width="9.140625" style="40"/>
    <col min="11" max="11" width="15.7109375" style="40" bestFit="1" customWidth="1"/>
    <col min="12" max="13" width="9.140625" style="40"/>
    <col min="14" max="14" width="15.28515625" style="40" bestFit="1" customWidth="1"/>
    <col min="15" max="16384" width="9.140625" style="40"/>
  </cols>
  <sheetData>
    <row r="1" spans="1:9" ht="31.5" x14ac:dyDescent="0.75">
      <c r="A1" s="337" t="s">
        <v>0</v>
      </c>
      <c r="B1" s="337"/>
      <c r="C1" s="337"/>
      <c r="D1" s="337"/>
      <c r="E1" s="337"/>
      <c r="F1" s="337"/>
      <c r="G1" s="337"/>
      <c r="H1" s="337"/>
      <c r="I1" s="337"/>
    </row>
    <row r="2" spans="1:9" ht="31.5" x14ac:dyDescent="0.75">
      <c r="A2" s="337" t="s">
        <v>174</v>
      </c>
      <c r="B2" s="337"/>
      <c r="C2" s="337"/>
      <c r="D2" s="337"/>
      <c r="E2" s="337"/>
      <c r="F2" s="337"/>
      <c r="G2" s="337"/>
      <c r="H2" s="337"/>
      <c r="I2" s="337"/>
    </row>
    <row r="3" spans="1:9" ht="31.5" x14ac:dyDescent="0.75">
      <c r="A3" s="337" t="s">
        <v>412</v>
      </c>
      <c r="B3" s="337"/>
      <c r="C3" s="337"/>
      <c r="D3" s="337"/>
      <c r="E3" s="337"/>
      <c r="F3" s="337"/>
      <c r="G3" s="337"/>
      <c r="H3" s="337"/>
      <c r="I3" s="337"/>
    </row>
    <row r="4" spans="1:9" ht="31.5" x14ac:dyDescent="0.75">
      <c r="A4" s="66"/>
      <c r="B4" s="67"/>
      <c r="C4" s="67"/>
      <c r="D4" s="67"/>
      <c r="E4" s="67"/>
      <c r="F4" s="67"/>
      <c r="G4" s="68" t="s">
        <v>38</v>
      </c>
      <c r="H4" s="67"/>
      <c r="I4" s="67"/>
    </row>
    <row r="5" spans="1:9" s="70" customFormat="1" ht="25.5" thickBot="1" x14ac:dyDescent="0.65">
      <c r="A5" s="69" t="s">
        <v>181</v>
      </c>
      <c r="B5" s="57"/>
      <c r="G5" s="71">
        <v>2</v>
      </c>
      <c r="I5" s="72">
        <f>งบทรัพย์สิน2!C27</f>
        <v>25928444.600000001</v>
      </c>
    </row>
    <row r="6" spans="1:9" s="70" customFormat="1" ht="25.5" thickTop="1" x14ac:dyDescent="0.6">
      <c r="A6" s="69" t="s">
        <v>182</v>
      </c>
      <c r="B6" s="57"/>
      <c r="G6" s="73"/>
      <c r="I6" s="74"/>
    </row>
    <row r="7" spans="1:9" s="70" customFormat="1" x14ac:dyDescent="0.6">
      <c r="A7" s="69"/>
      <c r="B7" s="69" t="s">
        <v>183</v>
      </c>
      <c r="G7" s="73"/>
      <c r="I7" s="74"/>
    </row>
    <row r="8" spans="1:9" x14ac:dyDescent="0.6">
      <c r="C8" s="40" t="s">
        <v>184</v>
      </c>
      <c r="G8" s="43">
        <v>3</v>
      </c>
      <c r="I8" s="45">
        <f>'เงินฝากธนาคาร3-4'!J16</f>
        <v>12758362.739999998</v>
      </c>
    </row>
    <row r="9" spans="1:9" x14ac:dyDescent="0.6">
      <c r="C9" s="40" t="s">
        <v>186</v>
      </c>
      <c r="I9" s="45">
        <v>0</v>
      </c>
    </row>
    <row r="10" spans="1:9" x14ac:dyDescent="0.6">
      <c r="C10" s="40" t="s">
        <v>185</v>
      </c>
      <c r="I10" s="45">
        <f>กระดาษทำการ!I20</f>
        <v>1057501.3600000001</v>
      </c>
    </row>
    <row r="11" spans="1:9" x14ac:dyDescent="0.6">
      <c r="C11" s="40" t="s">
        <v>187</v>
      </c>
      <c r="I11" s="45">
        <f>กระดาษทำการ!I16</f>
        <v>0</v>
      </c>
    </row>
    <row r="12" spans="1:9" x14ac:dyDescent="0.6">
      <c r="C12" s="40" t="s">
        <v>188</v>
      </c>
      <c r="G12" s="43">
        <v>4</v>
      </c>
      <c r="I12" s="45">
        <f>กระดาษทำการ!I13</f>
        <v>51700.000000000138</v>
      </c>
    </row>
    <row r="13" spans="1:9" x14ac:dyDescent="0.6">
      <c r="C13" s="40" t="s">
        <v>189</v>
      </c>
      <c r="G13" s="43">
        <v>5</v>
      </c>
      <c r="I13" s="45">
        <f>ลูกหนี้5!E12</f>
        <v>2199.25</v>
      </c>
    </row>
    <row r="14" spans="1:9" x14ac:dyDescent="0.6">
      <c r="B14" s="75"/>
      <c r="C14" s="40" t="s">
        <v>190</v>
      </c>
      <c r="G14" s="43">
        <v>6</v>
      </c>
      <c r="I14" s="45">
        <v>0</v>
      </c>
    </row>
    <row r="15" spans="1:9" x14ac:dyDescent="0.6">
      <c r="B15" s="75"/>
      <c r="C15" s="40" t="s">
        <v>191</v>
      </c>
      <c r="I15" s="45">
        <f>18000+8877.01</f>
        <v>26877.010000000002</v>
      </c>
    </row>
    <row r="16" spans="1:9" x14ac:dyDescent="0.6">
      <c r="B16" s="75"/>
      <c r="C16" s="40" t="s">
        <v>163</v>
      </c>
      <c r="G16" s="43">
        <v>7</v>
      </c>
      <c r="I16" s="50">
        <v>0</v>
      </c>
    </row>
    <row r="17" spans="1:14" x14ac:dyDescent="0.6">
      <c r="C17" s="40" t="s">
        <v>342</v>
      </c>
      <c r="H17" s="50"/>
      <c r="I17" s="45">
        <f>กระดาษทำการ!I21</f>
        <v>51700</v>
      </c>
    </row>
    <row r="18" spans="1:14" x14ac:dyDescent="0.6">
      <c r="C18" s="40" t="s">
        <v>192</v>
      </c>
      <c r="G18" s="43">
        <v>8</v>
      </c>
      <c r="H18" s="50"/>
      <c r="I18" s="45">
        <v>0</v>
      </c>
    </row>
    <row r="19" spans="1:14" s="42" customFormat="1" x14ac:dyDescent="0.6">
      <c r="C19" s="42" t="s">
        <v>193</v>
      </c>
      <c r="G19" s="76"/>
      <c r="I19" s="77">
        <f>SUM(I8:I18)</f>
        <v>13948340.359999998</v>
      </c>
    </row>
    <row r="20" spans="1:14" x14ac:dyDescent="0.6">
      <c r="B20" s="69" t="s">
        <v>194</v>
      </c>
      <c r="I20" s="78"/>
      <c r="K20" s="48"/>
    </row>
    <row r="21" spans="1:14" x14ac:dyDescent="0.6">
      <c r="B21" s="69"/>
      <c r="C21" s="40" t="s">
        <v>195</v>
      </c>
      <c r="I21" s="78">
        <v>0</v>
      </c>
      <c r="K21" s="48"/>
    </row>
    <row r="22" spans="1:14" x14ac:dyDescent="0.6">
      <c r="B22" s="69"/>
      <c r="C22" s="40" t="s">
        <v>196</v>
      </c>
      <c r="G22" s="43">
        <v>2</v>
      </c>
      <c r="I22" s="50">
        <v>0</v>
      </c>
      <c r="K22" s="48"/>
    </row>
    <row r="23" spans="1:14" x14ac:dyDescent="0.6">
      <c r="B23" s="69"/>
      <c r="C23" s="40" t="s">
        <v>197</v>
      </c>
      <c r="G23" s="43">
        <v>9</v>
      </c>
      <c r="I23" s="78">
        <v>0</v>
      </c>
      <c r="K23" s="48"/>
    </row>
    <row r="24" spans="1:14" x14ac:dyDescent="0.6">
      <c r="B24" s="69"/>
      <c r="C24" s="42" t="s">
        <v>198</v>
      </c>
      <c r="I24" s="77">
        <f>SUM(I21:I23)</f>
        <v>0</v>
      </c>
      <c r="K24" s="48"/>
    </row>
    <row r="25" spans="1:14" ht="25.5" thickBot="1" x14ac:dyDescent="0.65">
      <c r="A25" s="42" t="s">
        <v>199</v>
      </c>
      <c r="B25" s="69"/>
      <c r="I25" s="79">
        <f>I19+I24</f>
        <v>13948340.359999998</v>
      </c>
      <c r="K25" s="48"/>
    </row>
    <row r="26" spans="1:14" ht="25.5" thickTop="1" x14ac:dyDescent="0.6">
      <c r="B26" s="69"/>
      <c r="I26" s="78"/>
      <c r="K26" s="48"/>
    </row>
    <row r="27" spans="1:14" x14ac:dyDescent="0.6">
      <c r="A27" s="42" t="s">
        <v>200</v>
      </c>
      <c r="B27" s="69"/>
      <c r="I27" s="78"/>
      <c r="K27" s="48"/>
    </row>
    <row r="28" spans="1:14" x14ac:dyDescent="0.6">
      <c r="B28" s="69"/>
      <c r="I28" s="78"/>
      <c r="K28" s="48"/>
    </row>
    <row r="29" spans="1:14" x14ac:dyDescent="0.6">
      <c r="B29" s="43"/>
      <c r="E29" s="43"/>
      <c r="F29" s="43"/>
      <c r="N29" s="48"/>
    </row>
    <row r="30" spans="1:14" x14ac:dyDescent="0.6">
      <c r="B30" s="43"/>
    </row>
  </sheetData>
  <mergeCells count="3">
    <mergeCell ref="A1:I1"/>
    <mergeCell ref="A2:I2"/>
    <mergeCell ref="A3:I3"/>
  </mergeCells>
  <pageMargins left="1" right="0.4" top="0.48" bottom="0.37" header="0.5" footer="0.3"/>
  <pageSetup paperSize="9" scale="9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2" zoomScale="80" zoomScaleNormal="80" workbookViewId="0">
      <selection activeCell="A4" sqref="A4"/>
    </sheetView>
  </sheetViews>
  <sheetFormatPr defaultRowHeight="24.75" x14ac:dyDescent="0.6"/>
  <cols>
    <col min="1" max="1" width="10.28515625" style="161" customWidth="1"/>
    <col min="2" max="2" width="21.5703125" style="75" customWidth="1"/>
    <col min="3" max="3" width="28.42578125" style="45" customWidth="1"/>
    <col min="4" max="5" width="17.5703125" style="45" bestFit="1" customWidth="1"/>
    <col min="6" max="6" width="16.7109375" style="45" bestFit="1" customWidth="1"/>
    <col min="7" max="7" width="14.7109375" style="45" customWidth="1"/>
    <col min="8" max="8" width="18.140625" style="40" bestFit="1" customWidth="1"/>
    <col min="9" max="9" width="9.85546875" style="40" bestFit="1" customWidth="1"/>
    <col min="10" max="16384" width="9.140625" style="40"/>
  </cols>
  <sheetData>
    <row r="1" spans="1:9" ht="27.75" x14ac:dyDescent="0.65">
      <c r="A1" s="338" t="s">
        <v>0</v>
      </c>
      <c r="B1" s="338"/>
      <c r="C1" s="338"/>
      <c r="D1" s="338"/>
      <c r="E1" s="338"/>
      <c r="F1" s="338"/>
      <c r="G1" s="338"/>
      <c r="H1" s="338"/>
      <c r="I1" s="338"/>
    </row>
    <row r="2" spans="1:9" ht="27.75" x14ac:dyDescent="0.65">
      <c r="A2" s="338" t="s">
        <v>215</v>
      </c>
      <c r="B2" s="338"/>
      <c r="C2" s="338"/>
      <c r="D2" s="338"/>
      <c r="E2" s="338"/>
      <c r="F2" s="338"/>
      <c r="G2" s="338"/>
      <c r="H2" s="338"/>
      <c r="I2" s="338"/>
    </row>
    <row r="3" spans="1:9" ht="27.75" x14ac:dyDescent="0.65">
      <c r="A3" s="339" t="s">
        <v>351</v>
      </c>
      <c r="B3" s="339"/>
      <c r="C3" s="339"/>
      <c r="D3" s="339"/>
      <c r="E3" s="339"/>
      <c r="F3" s="339"/>
      <c r="G3" s="339"/>
      <c r="H3" s="339"/>
      <c r="I3" s="339"/>
    </row>
    <row r="4" spans="1:9" ht="27.75" x14ac:dyDescent="0.65">
      <c r="A4" s="118" t="s">
        <v>247</v>
      </c>
      <c r="B4" s="41"/>
      <c r="C4" s="41"/>
      <c r="D4" s="41"/>
      <c r="E4" s="41"/>
      <c r="F4" s="41"/>
      <c r="G4" s="41"/>
      <c r="H4" s="41"/>
      <c r="I4" s="41"/>
    </row>
    <row r="5" spans="1:9" ht="49.5" x14ac:dyDescent="0.6">
      <c r="A5" s="119" t="s">
        <v>233</v>
      </c>
      <c r="B5" s="119" t="s">
        <v>234</v>
      </c>
      <c r="C5" s="120" t="s">
        <v>235</v>
      </c>
      <c r="D5" s="121" t="s">
        <v>46</v>
      </c>
      <c r="E5" s="120" t="s">
        <v>35</v>
      </c>
      <c r="F5" s="120" t="s">
        <v>36</v>
      </c>
      <c r="G5" s="120" t="s">
        <v>37</v>
      </c>
      <c r="H5" s="122" t="s">
        <v>248</v>
      </c>
    </row>
    <row r="6" spans="1:9" x14ac:dyDescent="0.6">
      <c r="A6" s="123"/>
      <c r="B6" s="124"/>
      <c r="C6" s="125"/>
      <c r="D6" s="126"/>
      <c r="E6" s="126"/>
      <c r="F6" s="126"/>
      <c r="G6" s="126"/>
      <c r="H6" s="113"/>
    </row>
    <row r="7" spans="1:9" s="132" customFormat="1" x14ac:dyDescent="0.6">
      <c r="A7" s="127"/>
      <c r="B7" s="128"/>
      <c r="C7" s="129"/>
      <c r="D7" s="129"/>
      <c r="E7" s="129"/>
      <c r="F7" s="130"/>
      <c r="G7" s="94"/>
      <c r="H7" s="131"/>
    </row>
    <row r="8" spans="1:9" s="132" customFormat="1" x14ac:dyDescent="0.6">
      <c r="A8" s="133"/>
      <c r="B8" s="134"/>
      <c r="C8" s="135"/>
      <c r="D8" s="135"/>
      <c r="E8" s="135"/>
      <c r="F8" s="136"/>
      <c r="G8" s="94"/>
      <c r="H8" s="131"/>
    </row>
    <row r="9" spans="1:9" x14ac:dyDescent="0.6">
      <c r="A9" s="133"/>
      <c r="B9" s="134"/>
      <c r="C9" s="135"/>
      <c r="D9" s="135"/>
      <c r="E9" s="135"/>
      <c r="F9" s="136"/>
      <c r="G9" s="94"/>
      <c r="H9" s="95"/>
    </row>
    <row r="10" spans="1:9" s="141" customFormat="1" x14ac:dyDescent="0.6">
      <c r="A10" s="137"/>
      <c r="B10" s="134"/>
      <c r="C10" s="138"/>
      <c r="D10" s="138"/>
      <c r="E10" s="138"/>
      <c r="F10" s="138"/>
      <c r="G10" s="139"/>
      <c r="H10" s="140"/>
    </row>
    <row r="11" spans="1:9" s="132" customFormat="1" x14ac:dyDescent="0.6">
      <c r="A11" s="137"/>
      <c r="B11" s="134"/>
      <c r="C11" s="135"/>
      <c r="D11" s="135"/>
      <c r="E11" s="135"/>
      <c r="F11" s="136"/>
      <c r="G11" s="94"/>
      <c r="H11" s="131"/>
    </row>
    <row r="12" spans="1:9" s="132" customFormat="1" x14ac:dyDescent="0.6">
      <c r="A12" s="137"/>
      <c r="B12" s="142"/>
      <c r="C12" s="135"/>
      <c r="D12" s="135"/>
      <c r="E12" s="135"/>
      <c r="F12" s="136"/>
      <c r="G12" s="94"/>
      <c r="H12" s="131"/>
    </row>
    <row r="13" spans="1:9" s="132" customFormat="1" x14ac:dyDescent="0.5">
      <c r="A13" s="137"/>
      <c r="B13" s="134"/>
      <c r="C13" s="138"/>
      <c r="D13" s="138"/>
      <c r="E13" s="138"/>
      <c r="F13" s="138"/>
      <c r="G13" s="138"/>
      <c r="H13" s="131"/>
    </row>
    <row r="14" spans="1:9" s="132" customFormat="1" x14ac:dyDescent="0.5">
      <c r="A14" s="137"/>
      <c r="B14" s="143"/>
      <c r="C14" s="144"/>
      <c r="D14" s="144"/>
      <c r="E14" s="144"/>
      <c r="F14" s="144"/>
      <c r="G14" s="144"/>
      <c r="H14" s="131"/>
    </row>
    <row r="15" spans="1:9" s="132" customFormat="1" x14ac:dyDescent="0.5">
      <c r="A15" s="137"/>
      <c r="B15" s="142"/>
      <c r="C15" s="135"/>
      <c r="D15" s="135"/>
      <c r="E15" s="135"/>
      <c r="F15" s="136"/>
      <c r="G15" s="135"/>
      <c r="H15" s="131"/>
    </row>
    <row r="16" spans="1:9" s="132" customFormat="1" x14ac:dyDescent="0.5">
      <c r="A16" s="137"/>
      <c r="B16" s="145"/>
      <c r="C16" s="135"/>
      <c r="D16" s="135"/>
      <c r="E16" s="135"/>
      <c r="F16" s="136"/>
      <c r="G16" s="135"/>
      <c r="H16" s="131"/>
    </row>
    <row r="17" spans="1:8" s="148" customFormat="1" x14ac:dyDescent="0.5">
      <c r="A17" s="137"/>
      <c r="B17" s="146"/>
      <c r="C17" s="135"/>
      <c r="D17" s="135"/>
      <c r="E17" s="135"/>
      <c r="F17" s="136"/>
      <c r="G17" s="135"/>
      <c r="H17" s="147"/>
    </row>
    <row r="18" spans="1:8" s="58" customFormat="1" x14ac:dyDescent="0.6">
      <c r="A18" s="133"/>
      <c r="B18" s="134"/>
      <c r="C18" s="135"/>
      <c r="D18" s="135"/>
      <c r="E18" s="135"/>
      <c r="F18" s="136"/>
      <c r="G18" s="135"/>
      <c r="H18" s="149"/>
    </row>
    <row r="19" spans="1:8" s="58" customFormat="1" x14ac:dyDescent="0.6">
      <c r="A19" s="150"/>
      <c r="B19" s="134"/>
      <c r="C19" s="151"/>
      <c r="D19" s="151"/>
      <c r="E19" s="151"/>
      <c r="F19" s="152"/>
      <c r="G19" s="151"/>
      <c r="H19" s="149"/>
    </row>
    <row r="20" spans="1:8" s="58" customFormat="1" x14ac:dyDescent="0.6">
      <c r="A20" s="150"/>
      <c r="B20" s="153"/>
      <c r="C20" s="151"/>
      <c r="D20" s="151"/>
      <c r="E20" s="151"/>
      <c r="F20" s="152"/>
      <c r="G20" s="151"/>
      <c r="H20" s="149"/>
    </row>
    <row r="21" spans="1:8" s="58" customFormat="1" x14ac:dyDescent="0.6">
      <c r="A21" s="150"/>
      <c r="B21" s="154"/>
      <c r="C21" s="151"/>
      <c r="D21" s="151"/>
      <c r="E21" s="151"/>
      <c r="F21" s="152"/>
      <c r="G21" s="151"/>
      <c r="H21" s="149"/>
    </row>
    <row r="22" spans="1:8" s="58" customFormat="1" x14ac:dyDescent="0.6">
      <c r="A22" s="150"/>
      <c r="B22" s="155"/>
      <c r="C22" s="151"/>
      <c r="D22" s="151"/>
      <c r="E22" s="151"/>
      <c r="F22" s="152"/>
      <c r="G22" s="151"/>
      <c r="H22" s="149"/>
    </row>
    <row r="23" spans="1:8" x14ac:dyDescent="0.6">
      <c r="A23" s="123"/>
      <c r="B23" s="156"/>
      <c r="C23" s="157"/>
      <c r="D23" s="158"/>
      <c r="E23" s="158"/>
      <c r="F23" s="158"/>
      <c r="G23" s="158"/>
      <c r="H23" s="159"/>
    </row>
    <row r="24" spans="1:8" ht="23.25" customHeight="1" x14ac:dyDescent="0.6">
      <c r="A24" s="359" t="s">
        <v>5</v>
      </c>
      <c r="B24" s="360"/>
      <c r="C24" s="361"/>
      <c r="D24" s="99">
        <f>SUM(D6:D23)</f>
        <v>0</v>
      </c>
      <c r="E24" s="99">
        <f>SUM(E6:E23)</f>
        <v>0</v>
      </c>
      <c r="F24" s="99">
        <f>SUM(F6:F23)</f>
        <v>0</v>
      </c>
      <c r="G24" s="99">
        <f>SUM(G6:G23)</f>
        <v>0</v>
      </c>
      <c r="H24" s="160"/>
    </row>
  </sheetData>
  <mergeCells count="4">
    <mergeCell ref="A24:C24"/>
    <mergeCell ref="A1:I1"/>
    <mergeCell ref="A2:I2"/>
    <mergeCell ref="A3:I3"/>
  </mergeCells>
  <pageMargins left="0.5" right="0.24" top="0.7" bottom="0.27559055118110237" header="0.31496062992125984" footer="0.31496062992125984"/>
  <pageSetup paperSize="9" scale="7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C4" zoomScaleNormal="100" workbookViewId="0">
      <selection activeCell="C8" sqref="C8"/>
    </sheetView>
  </sheetViews>
  <sheetFormatPr defaultRowHeight="24.75" x14ac:dyDescent="0.6"/>
  <cols>
    <col min="1" max="1" width="19.7109375" style="161" customWidth="1"/>
    <col min="2" max="2" width="25" style="75" bestFit="1" customWidth="1"/>
    <col min="3" max="3" width="35.140625" style="45" customWidth="1"/>
    <col min="4" max="4" width="14.28515625" style="45" customWidth="1"/>
    <col min="5" max="5" width="14.28515625" style="45" bestFit="1" customWidth="1"/>
    <col min="6" max="6" width="15.140625" style="45" bestFit="1" customWidth="1"/>
    <col min="7" max="7" width="14.7109375" style="45" bestFit="1" customWidth="1"/>
    <col min="8" max="8" width="12" style="40" customWidth="1"/>
    <col min="9" max="9" width="9.85546875" style="40" bestFit="1" customWidth="1"/>
    <col min="10" max="16384" width="9.140625" style="40"/>
  </cols>
  <sheetData>
    <row r="1" spans="1:9" ht="27.75" x14ac:dyDescent="0.65">
      <c r="A1" s="338" t="s">
        <v>0</v>
      </c>
      <c r="B1" s="338"/>
      <c r="C1" s="338"/>
      <c r="D1" s="338"/>
      <c r="E1" s="338"/>
      <c r="F1" s="338"/>
      <c r="G1" s="338"/>
      <c r="H1" s="338"/>
      <c r="I1" s="328"/>
    </row>
    <row r="2" spans="1:9" ht="27.75" x14ac:dyDescent="0.65">
      <c r="A2" s="338" t="s">
        <v>215</v>
      </c>
      <c r="B2" s="338"/>
      <c r="C2" s="338"/>
      <c r="D2" s="338"/>
      <c r="E2" s="338"/>
      <c r="F2" s="338"/>
      <c r="G2" s="338"/>
      <c r="H2" s="338"/>
      <c r="I2" s="328"/>
    </row>
    <row r="3" spans="1:9" ht="27.75" x14ac:dyDescent="0.65">
      <c r="A3" s="339" t="s">
        <v>351</v>
      </c>
      <c r="B3" s="339"/>
      <c r="C3" s="339"/>
      <c r="D3" s="339"/>
      <c r="E3" s="339"/>
      <c r="F3" s="339"/>
      <c r="G3" s="339"/>
      <c r="H3" s="339"/>
      <c r="I3" s="327"/>
    </row>
    <row r="4" spans="1:9" ht="27.75" x14ac:dyDescent="0.65">
      <c r="A4" s="118" t="s">
        <v>249</v>
      </c>
      <c r="B4" s="41"/>
      <c r="C4" s="41"/>
      <c r="D4" s="41"/>
      <c r="E4" s="41"/>
      <c r="F4" s="41"/>
      <c r="G4" s="41"/>
      <c r="H4" s="41"/>
      <c r="I4" s="41"/>
    </row>
    <row r="5" spans="1:9" ht="49.5" x14ac:dyDescent="0.6">
      <c r="A5" s="119" t="s">
        <v>233</v>
      </c>
      <c r="B5" s="119" t="s">
        <v>234</v>
      </c>
      <c r="C5" s="120" t="s">
        <v>235</v>
      </c>
      <c r="D5" s="121" t="s">
        <v>46</v>
      </c>
      <c r="E5" s="120" t="s">
        <v>35</v>
      </c>
      <c r="F5" s="120" t="s">
        <v>36</v>
      </c>
      <c r="G5" s="120" t="s">
        <v>37</v>
      </c>
      <c r="H5" s="333" t="s">
        <v>442</v>
      </c>
    </row>
    <row r="6" spans="1:9" x14ac:dyDescent="0.6">
      <c r="A6" s="162" t="s">
        <v>390</v>
      </c>
      <c r="B6" s="326" t="s">
        <v>391</v>
      </c>
      <c r="C6" s="334" t="s">
        <v>392</v>
      </c>
      <c r="D6" s="164">
        <v>200000</v>
      </c>
      <c r="E6" s="164">
        <v>200000</v>
      </c>
      <c r="F6" s="163">
        <v>200000</v>
      </c>
      <c r="G6" s="163">
        <v>0</v>
      </c>
      <c r="H6" s="325">
        <v>0</v>
      </c>
    </row>
    <row r="7" spans="1:9" s="132" customFormat="1" x14ac:dyDescent="0.6">
      <c r="A7" s="332" t="s">
        <v>125</v>
      </c>
      <c r="B7" s="332" t="s">
        <v>15</v>
      </c>
      <c r="C7" s="335" t="s">
        <v>440</v>
      </c>
      <c r="D7" s="129">
        <v>498500</v>
      </c>
      <c r="E7" s="129">
        <v>498500</v>
      </c>
      <c r="F7" s="130">
        <v>0</v>
      </c>
      <c r="G7" s="94">
        <f>E7-F7</f>
        <v>498500</v>
      </c>
      <c r="H7" s="131"/>
    </row>
    <row r="8" spans="1:9" s="132" customFormat="1" x14ac:dyDescent="0.6">
      <c r="A8" s="133"/>
      <c r="B8" s="134"/>
      <c r="C8" s="335" t="s">
        <v>441</v>
      </c>
      <c r="D8" s="135"/>
      <c r="E8" s="135"/>
      <c r="F8" s="136"/>
      <c r="G8" s="94"/>
      <c r="H8" s="131"/>
    </row>
    <row r="9" spans="1:9" x14ac:dyDescent="0.6">
      <c r="A9" s="133"/>
      <c r="B9" s="134"/>
      <c r="C9" s="135"/>
      <c r="D9" s="135"/>
      <c r="E9" s="135"/>
      <c r="F9" s="136"/>
      <c r="G9" s="94"/>
      <c r="H9" s="95"/>
    </row>
    <row r="10" spans="1:9" s="141" customFormat="1" x14ac:dyDescent="0.6">
      <c r="A10" s="137"/>
      <c r="B10" s="134"/>
      <c r="C10" s="138"/>
      <c r="D10" s="138"/>
      <c r="E10" s="138"/>
      <c r="F10" s="138"/>
      <c r="G10" s="139"/>
      <c r="H10" s="140"/>
    </row>
    <row r="11" spans="1:9" s="132" customFormat="1" x14ac:dyDescent="0.6">
      <c r="A11" s="137"/>
      <c r="B11" s="134"/>
      <c r="C11" s="135"/>
      <c r="D11" s="135"/>
      <c r="E11" s="135"/>
      <c r="F11" s="136"/>
      <c r="G11" s="94"/>
      <c r="H11" s="131"/>
    </row>
    <row r="12" spans="1:9" s="132" customFormat="1" x14ac:dyDescent="0.6">
      <c r="A12" s="137"/>
      <c r="B12" s="142"/>
      <c r="C12" s="135"/>
      <c r="D12" s="135"/>
      <c r="E12" s="135"/>
      <c r="F12" s="136"/>
      <c r="G12" s="94"/>
      <c r="H12" s="131"/>
    </row>
    <row r="13" spans="1:9" s="132" customFormat="1" x14ac:dyDescent="0.5">
      <c r="A13" s="137"/>
      <c r="B13" s="134"/>
      <c r="C13" s="138"/>
      <c r="D13" s="138"/>
      <c r="E13" s="138"/>
      <c r="F13" s="138"/>
      <c r="G13" s="138"/>
      <c r="H13" s="131"/>
    </row>
    <row r="14" spans="1:9" s="132" customFormat="1" x14ac:dyDescent="0.5">
      <c r="A14" s="137"/>
      <c r="B14" s="143"/>
      <c r="C14" s="144"/>
      <c r="D14" s="144"/>
      <c r="E14" s="144"/>
      <c r="F14" s="144"/>
      <c r="G14" s="144"/>
      <c r="H14" s="131"/>
    </row>
    <row r="15" spans="1:9" s="132" customFormat="1" x14ac:dyDescent="0.5">
      <c r="A15" s="137"/>
      <c r="B15" s="142"/>
      <c r="C15" s="135"/>
      <c r="D15" s="135"/>
      <c r="E15" s="135"/>
      <c r="F15" s="136"/>
      <c r="G15" s="135"/>
      <c r="H15" s="131"/>
    </row>
    <row r="16" spans="1:9" s="132" customFormat="1" x14ac:dyDescent="0.5">
      <c r="A16" s="137"/>
      <c r="B16" s="145"/>
      <c r="C16" s="135"/>
      <c r="D16" s="135"/>
      <c r="E16" s="135"/>
      <c r="F16" s="136"/>
      <c r="G16" s="135"/>
      <c r="H16" s="131"/>
    </row>
    <row r="17" spans="1:8" s="148" customFormat="1" x14ac:dyDescent="0.5">
      <c r="A17" s="137"/>
      <c r="B17" s="146"/>
      <c r="C17" s="135"/>
      <c r="D17" s="135"/>
      <c r="E17" s="135"/>
      <c r="F17" s="136"/>
      <c r="G17" s="135"/>
      <c r="H17" s="147"/>
    </row>
    <row r="18" spans="1:8" s="58" customFormat="1" x14ac:dyDescent="0.6">
      <c r="A18" s="133"/>
      <c r="B18" s="134"/>
      <c r="C18" s="135"/>
      <c r="D18" s="135"/>
      <c r="E18" s="135"/>
      <c r="F18" s="136"/>
      <c r="G18" s="135"/>
      <c r="H18" s="149"/>
    </row>
    <row r="19" spans="1:8" s="58" customFormat="1" x14ac:dyDescent="0.6">
      <c r="A19" s="150"/>
      <c r="B19" s="134"/>
      <c r="C19" s="151"/>
      <c r="D19" s="151"/>
      <c r="E19" s="151"/>
      <c r="F19" s="152"/>
      <c r="G19" s="151"/>
      <c r="H19" s="149"/>
    </row>
    <row r="20" spans="1:8" s="58" customFormat="1" x14ac:dyDescent="0.6">
      <c r="A20" s="150"/>
      <c r="B20" s="153"/>
      <c r="C20" s="151"/>
      <c r="D20" s="151"/>
      <c r="E20" s="151"/>
      <c r="F20" s="152"/>
      <c r="G20" s="151"/>
      <c r="H20" s="149"/>
    </row>
    <row r="21" spans="1:8" s="58" customFormat="1" x14ac:dyDescent="0.6">
      <c r="A21" s="150"/>
      <c r="B21" s="154"/>
      <c r="C21" s="151"/>
      <c r="D21" s="151"/>
      <c r="E21" s="151"/>
      <c r="F21" s="152"/>
      <c r="G21" s="151"/>
      <c r="H21" s="149"/>
    </row>
    <row r="22" spans="1:8" s="58" customFormat="1" x14ac:dyDescent="0.6">
      <c r="A22" s="150"/>
      <c r="B22" s="155"/>
      <c r="C22" s="151"/>
      <c r="D22" s="151"/>
      <c r="E22" s="151"/>
      <c r="F22" s="152"/>
      <c r="G22" s="151"/>
      <c r="H22" s="149"/>
    </row>
    <row r="23" spans="1:8" x14ac:dyDescent="0.6">
      <c r="A23" s="123"/>
      <c r="B23" s="156"/>
      <c r="C23" s="157"/>
      <c r="D23" s="158"/>
      <c r="E23" s="158"/>
      <c r="F23" s="158"/>
      <c r="G23" s="158"/>
      <c r="H23" s="159"/>
    </row>
    <row r="24" spans="1:8" ht="23.25" customHeight="1" x14ac:dyDescent="0.6">
      <c r="A24" s="359" t="s">
        <v>5</v>
      </c>
      <c r="B24" s="360"/>
      <c r="C24" s="361"/>
      <c r="D24" s="99">
        <f>SUM(D6:D14)</f>
        <v>698500</v>
      </c>
      <c r="E24" s="99">
        <f t="shared" ref="E24:F24" si="0">SUM(E6:E14)</f>
        <v>698500</v>
      </c>
      <c r="F24" s="99">
        <f t="shared" si="0"/>
        <v>200000</v>
      </c>
      <c r="G24" s="99">
        <f>SUM(G7:G23)</f>
        <v>498500</v>
      </c>
      <c r="H24" s="99">
        <f>SUM(H7:H23)</f>
        <v>0</v>
      </c>
    </row>
  </sheetData>
  <mergeCells count="4">
    <mergeCell ref="A24:C24"/>
    <mergeCell ref="A3:H3"/>
    <mergeCell ref="A1:H1"/>
    <mergeCell ref="A2:H2"/>
  </mergeCells>
  <pageMargins left="0.36" right="0.17" top="0.7" bottom="0.27559055118110237" header="0.31496062992125984" footer="0.31496062992125984"/>
  <pageSetup paperSize="9" scale="7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view="pageBreakPreview" topLeftCell="F73" zoomScale="80" zoomScaleNormal="90" zoomScaleSheetLayoutView="80" workbookViewId="0">
      <selection activeCell="A73" sqref="A73:L73"/>
    </sheetView>
  </sheetViews>
  <sheetFormatPr defaultRowHeight="24.75" x14ac:dyDescent="0.6"/>
  <cols>
    <col min="1" max="1" width="12.140625" style="165" bestFit="1" customWidth="1"/>
    <col min="2" max="2" width="36" style="165" bestFit="1" customWidth="1"/>
    <col min="3" max="3" width="20.5703125" style="191" customWidth="1"/>
    <col min="4" max="4" width="20.28515625" style="191" bestFit="1" customWidth="1"/>
    <col min="5" max="5" width="20.28515625" style="178" bestFit="1" customWidth="1"/>
    <col min="6" max="6" width="18.85546875" style="178" customWidth="1"/>
    <col min="7" max="7" width="17.5703125" style="178" bestFit="1" customWidth="1"/>
    <col min="8" max="9" width="20.5703125" style="178" bestFit="1" customWidth="1"/>
    <col min="10" max="10" width="20.140625" style="178" bestFit="1" customWidth="1"/>
    <col min="11" max="11" width="15.42578125" style="178" bestFit="1" customWidth="1"/>
    <col min="12" max="12" width="18" style="178" customWidth="1"/>
    <col min="13" max="13" width="9.140625" style="165"/>
    <col min="14" max="15" width="18.5703125" style="165" bestFit="1" customWidth="1"/>
    <col min="16" max="16" width="16.85546875" style="165" bestFit="1" customWidth="1"/>
    <col min="17" max="17" width="15.7109375" style="165" bestFit="1" customWidth="1"/>
    <col min="18" max="20" width="13.85546875" style="165" bestFit="1" customWidth="1"/>
    <col min="21" max="21" width="15.7109375" style="165" bestFit="1" customWidth="1"/>
    <col min="22" max="23" width="13.85546875" style="165" bestFit="1" customWidth="1"/>
    <col min="24" max="24" width="12.42578125" style="165" bestFit="1" customWidth="1"/>
    <col min="25" max="25" width="15.7109375" style="165" bestFit="1" customWidth="1"/>
    <col min="26" max="16384" width="9.140625" style="165"/>
  </cols>
  <sheetData>
    <row r="1" spans="1:14" ht="27.75" x14ac:dyDescent="0.5">
      <c r="A1" s="363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4" ht="27.75" x14ac:dyDescent="0.5">
      <c r="A2" s="363" t="s">
        <v>167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4" ht="27.75" x14ac:dyDescent="0.5">
      <c r="A3" s="363" t="s">
        <v>399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4" ht="74.25" x14ac:dyDescent="0.5">
      <c r="A4" s="166" t="s">
        <v>250</v>
      </c>
      <c r="B4" s="167" t="s">
        <v>233</v>
      </c>
      <c r="C4" s="168" t="s">
        <v>57</v>
      </c>
      <c r="D4" s="168" t="s">
        <v>61</v>
      </c>
      <c r="E4" s="168" t="s">
        <v>58</v>
      </c>
      <c r="F4" s="168" t="s">
        <v>62</v>
      </c>
      <c r="G4" s="168" t="s">
        <v>59</v>
      </c>
      <c r="H4" s="168" t="s">
        <v>63</v>
      </c>
      <c r="I4" s="168" t="s">
        <v>64</v>
      </c>
      <c r="J4" s="168" t="s">
        <v>65</v>
      </c>
      <c r="K4" s="168" t="s">
        <v>54</v>
      </c>
      <c r="L4" s="168" t="s">
        <v>5</v>
      </c>
    </row>
    <row r="5" spans="1:14" x14ac:dyDescent="0.6">
      <c r="A5" s="169" t="s">
        <v>66</v>
      </c>
      <c r="B5" s="170"/>
      <c r="C5" s="171"/>
      <c r="D5" s="172"/>
      <c r="E5" s="172"/>
      <c r="F5" s="172"/>
      <c r="G5" s="172"/>
      <c r="H5" s="172"/>
      <c r="I5" s="172"/>
      <c r="J5" s="172"/>
      <c r="K5" s="172"/>
      <c r="L5" s="171"/>
    </row>
    <row r="6" spans="1:14" x14ac:dyDescent="0.6">
      <c r="A6" s="173" t="s">
        <v>251</v>
      </c>
      <c r="B6" s="174" t="s">
        <v>67</v>
      </c>
      <c r="C6" s="175">
        <f>[6]รวม!$C$24+[6]รวม!$D$24+[6]รวม!$E$24</f>
        <v>0</v>
      </c>
      <c r="D6" s="175">
        <f>[6]รวม!$F$24</f>
        <v>0</v>
      </c>
      <c r="E6" s="175">
        <f>[6]รวม!$G$24+[6]รวม!$H$24+[6]รวม!$I$24</f>
        <v>0</v>
      </c>
      <c r="F6" s="175">
        <f>[6]รวม!$J$24</f>
        <v>0</v>
      </c>
      <c r="G6" s="175">
        <f>[6]รวม!$K$24+[6]รวม!$L$24+[6]รวม!$M$24</f>
        <v>0</v>
      </c>
      <c r="H6" s="175">
        <f>[6]รวม!$N$24+[6]รวม!$O$24</f>
        <v>0</v>
      </c>
      <c r="I6" s="175">
        <f>[6]รวม!$P$24+[6]รวม!$Q$24</f>
        <v>0</v>
      </c>
      <c r="J6" s="175">
        <f>[6]รวม!$R$24</f>
        <v>0</v>
      </c>
      <c r="K6" s="175">
        <v>0</v>
      </c>
      <c r="L6" s="175">
        <f t="shared" ref="L6:L16" si="0">SUM(C6:K6)</f>
        <v>0</v>
      </c>
    </row>
    <row r="7" spans="1:14" x14ac:dyDescent="0.6">
      <c r="A7" s="173"/>
      <c r="B7" s="174" t="s">
        <v>68</v>
      </c>
      <c r="C7" s="175">
        <f>[6]รวม!$C$32+[6]รวม!$D$32+[6]รวม!$E$32</f>
        <v>0</v>
      </c>
      <c r="D7" s="175">
        <f>[6]รวม!$F$32</f>
        <v>0</v>
      </c>
      <c r="E7" s="175">
        <f>[6]รวม!$G$32+[6]รวม!$H$32+[6]รวม!$I$32</f>
        <v>0</v>
      </c>
      <c r="F7" s="175">
        <f>[6]รวม!$J$32</f>
        <v>0</v>
      </c>
      <c r="G7" s="175">
        <f>[6]รวม!$K$32+[6]รวม!$L$32+[6]รวม!$M$32</f>
        <v>0</v>
      </c>
      <c r="H7" s="175">
        <f>[6]รวม!$N$32+[6]รวม!$O$32</f>
        <v>0</v>
      </c>
      <c r="I7" s="175">
        <f>[6]รวม!$P$32+[6]รวม!$Q$32</f>
        <v>0</v>
      </c>
      <c r="J7" s="175">
        <f>[6]รวม!$R$32</f>
        <v>0</v>
      </c>
      <c r="K7" s="176">
        <v>0</v>
      </c>
      <c r="L7" s="176">
        <f t="shared" si="0"/>
        <v>0</v>
      </c>
    </row>
    <row r="8" spans="1:14" x14ac:dyDescent="0.6">
      <c r="A8" s="173" t="s">
        <v>252</v>
      </c>
      <c r="B8" s="174" t="s">
        <v>40</v>
      </c>
      <c r="C8" s="175">
        <f>[6]รวม!$C$42+[6]รวม!$D$42+[6]รวม!$E$42</f>
        <v>0</v>
      </c>
      <c r="D8" s="175">
        <f>[6]รวม!$F$42</f>
        <v>0</v>
      </c>
      <c r="E8" s="175">
        <f>[6]รวม!$G$42+[6]รวม!$H$42+[6]รวม!$I$42</f>
        <v>0</v>
      </c>
      <c r="F8" s="175">
        <f>[6]รวม!$J$42</f>
        <v>0</v>
      </c>
      <c r="G8" s="175">
        <f>[6]รวม!$K$42+[6]รวม!$L$42+[6]รวม!$M$42</f>
        <v>0</v>
      </c>
      <c r="H8" s="175">
        <f>[6]รวม!$N$42+[6]รวม!$O$42</f>
        <v>0</v>
      </c>
      <c r="I8" s="175">
        <f>[6]รวม!$P$42+[6]รวม!$Q$42</f>
        <v>0</v>
      </c>
      <c r="J8" s="175">
        <f>[6]รวม!$R$42</f>
        <v>0</v>
      </c>
      <c r="K8" s="177">
        <v>0</v>
      </c>
      <c r="L8" s="176">
        <f t="shared" si="0"/>
        <v>0</v>
      </c>
    </row>
    <row r="9" spans="1:14" x14ac:dyDescent="0.6">
      <c r="A9" s="173"/>
      <c r="B9" s="174" t="s">
        <v>47</v>
      </c>
      <c r="C9" s="175">
        <f>[6]รวม!$C$49+[6]รวม!$D$49+[6]รวม!$E$49</f>
        <v>0</v>
      </c>
      <c r="D9" s="175">
        <f>[6]รวม!$F$49</f>
        <v>0</v>
      </c>
      <c r="E9" s="175">
        <f>[6]รวม!$G$49+[6]รวม!$H$49+[6]รวม!$I$49</f>
        <v>0</v>
      </c>
      <c r="F9" s="175">
        <f>[6]รวม!$J$49</f>
        <v>0</v>
      </c>
      <c r="G9" s="175">
        <f>[6]รวม!$K$49+[6]รวม!$L$49+[6]รวม!$M$49</f>
        <v>0</v>
      </c>
      <c r="H9" s="175">
        <f>[6]รวม!$N$49+[6]รวม!$O$49</f>
        <v>0</v>
      </c>
      <c r="I9" s="175">
        <f>[6]รวม!$P$49+[6]รวม!$Q$49</f>
        <v>0</v>
      </c>
      <c r="J9" s="175">
        <f>[6]รวม!$R$49</f>
        <v>0</v>
      </c>
      <c r="K9" s="177">
        <v>0</v>
      </c>
      <c r="L9" s="176">
        <f t="shared" si="0"/>
        <v>0</v>
      </c>
    </row>
    <row r="10" spans="1:14" x14ac:dyDescent="0.6">
      <c r="A10" s="173"/>
      <c r="B10" s="174" t="s">
        <v>39</v>
      </c>
      <c r="C10" s="175">
        <f>[6]รวม!$C$69+[6]รวม!$D$69+[6]รวม!$E$69</f>
        <v>0</v>
      </c>
      <c r="D10" s="175">
        <f>[6]รวม!$F$69</f>
        <v>0</v>
      </c>
      <c r="E10" s="175">
        <f>[6]รวม!$G$69+[6]รวม!$H$69+[6]รวม!$I$69</f>
        <v>0</v>
      </c>
      <c r="F10" s="175">
        <f>[6]รวม!$J$69</f>
        <v>0</v>
      </c>
      <c r="G10" s="175">
        <f>[6]รวม!$K$69+[6]รวม!$L$69+[6]รวม!$M$69</f>
        <v>0</v>
      </c>
      <c r="H10" s="175">
        <f>[6]รวม!$N$69+[6]รวม!$O$69</f>
        <v>0</v>
      </c>
      <c r="I10" s="175">
        <f>[6]รวม!$P$69+[6]รวม!$Q$69</f>
        <v>0</v>
      </c>
      <c r="J10" s="175">
        <f>[6]รวม!$R$69</f>
        <v>0</v>
      </c>
      <c r="K10" s="177">
        <v>0</v>
      </c>
      <c r="L10" s="176">
        <f t="shared" si="0"/>
        <v>0</v>
      </c>
    </row>
    <row r="11" spans="1:14" x14ac:dyDescent="0.6">
      <c r="A11" s="173"/>
      <c r="B11" s="174" t="s">
        <v>69</v>
      </c>
      <c r="C11" s="175">
        <f>[6]รวม!$C$77+[6]รวม!$D$77+[6]รวม!$E$77</f>
        <v>0</v>
      </c>
      <c r="D11" s="175">
        <f>[6]รวม!$F$77</f>
        <v>0</v>
      </c>
      <c r="E11" s="175">
        <f>[6]รวม!$G$77+[6]รวม!$H$77+[6]รวม!$I$77</f>
        <v>0</v>
      </c>
      <c r="F11" s="175">
        <f>[6]รวม!$J$77</f>
        <v>0</v>
      </c>
      <c r="G11" s="175">
        <f>[6]รวม!$K$77+[6]รวม!$L$77+[6]รวม!$M$77</f>
        <v>0</v>
      </c>
      <c r="H11" s="175">
        <f>[6]รวม!$N$77+[6]รวม!$O$77</f>
        <v>0</v>
      </c>
      <c r="I11" s="175">
        <f>[6]รวม!$P$77+[6]รวม!$Q$77</f>
        <v>0</v>
      </c>
      <c r="J11" s="175">
        <f>[6]รวม!$R$77</f>
        <v>0</v>
      </c>
      <c r="K11" s="177">
        <v>0</v>
      </c>
      <c r="L11" s="176">
        <f t="shared" si="0"/>
        <v>0</v>
      </c>
    </row>
    <row r="12" spans="1:14" x14ac:dyDescent="0.6">
      <c r="A12" s="173" t="s">
        <v>253</v>
      </c>
      <c r="B12" s="174" t="s">
        <v>71</v>
      </c>
      <c r="C12" s="175">
        <f>[6]รวม!$C$98+[6]รวม!$D$98+[6]รวม!$E$98</f>
        <v>0</v>
      </c>
      <c r="D12" s="175">
        <f>[6]รวม!$F$98</f>
        <v>0</v>
      </c>
      <c r="E12" s="175">
        <f>[6]รวม!$G$98+[6]รวม!$H$98+[6]รวม!$I$98</f>
        <v>0</v>
      </c>
      <c r="F12" s="175">
        <f>[6]รวม!$J$98</f>
        <v>0</v>
      </c>
      <c r="G12" s="175">
        <f>[6]รวม!$K$98+[6]รวม!$L$98+[6]รวม!$M$98</f>
        <v>0</v>
      </c>
      <c r="H12" s="175">
        <f>[6]รวม!$N$98+[6]รวม!$O$98</f>
        <v>0</v>
      </c>
      <c r="I12" s="175">
        <f>[6]รวม!$P$98+[6]รวม!$Q$98</f>
        <v>0</v>
      </c>
      <c r="J12" s="175">
        <f>[6]รวม!$R$98</f>
        <v>0</v>
      </c>
      <c r="K12" s="177">
        <v>0</v>
      </c>
      <c r="L12" s="176">
        <f t="shared" si="0"/>
        <v>0</v>
      </c>
      <c r="N12" s="178">
        <f>109000+98732+959900+19805+208500+334000+749750+425250</f>
        <v>2904937</v>
      </c>
    </row>
    <row r="13" spans="1:14" x14ac:dyDescent="0.6">
      <c r="A13" s="173"/>
      <c r="B13" s="174" t="s">
        <v>70</v>
      </c>
      <c r="C13" s="175">
        <f>[6]รวม!$C$113+[6]รวม!$D$113+[6]รวม!$E$113</f>
        <v>0</v>
      </c>
      <c r="D13" s="175">
        <f>[6]รวม!$F$113</f>
        <v>0</v>
      </c>
      <c r="E13" s="175">
        <f>[6]รวม!$G$113+[6]รวม!$H$113+[6]รวม!$I$113</f>
        <v>0</v>
      </c>
      <c r="F13" s="175">
        <f>[6]รวม!$J$113</f>
        <v>0</v>
      </c>
      <c r="G13" s="175">
        <f>[6]รวม!$K$113+[6]รวม!$L$113+[6]รวม!$M$113</f>
        <v>0</v>
      </c>
      <c r="H13" s="175">
        <f>[6]รวม!$N$113+[6]รวม!$O$113</f>
        <v>0</v>
      </c>
      <c r="I13" s="175">
        <f>[6]รวม!$P$113+[6]รวม!$Q$113</f>
        <v>0</v>
      </c>
      <c r="J13" s="175">
        <f>[6]รวม!$R$113</f>
        <v>0</v>
      </c>
      <c r="K13" s="177">
        <v>0</v>
      </c>
      <c r="L13" s="176">
        <f t="shared" si="0"/>
        <v>0</v>
      </c>
      <c r="N13" s="179">
        <f>N12-L17</f>
        <v>2904937</v>
      </c>
    </row>
    <row r="14" spans="1:14" x14ac:dyDescent="0.6">
      <c r="A14" s="173" t="s">
        <v>254</v>
      </c>
      <c r="B14" s="174" t="s">
        <v>79</v>
      </c>
      <c r="C14" s="175">
        <f>[6]รวม!$C$118+[6]รวม!$D$118+[6]รวม!$E$118</f>
        <v>0</v>
      </c>
      <c r="D14" s="175">
        <f>[6]รวม!$F$118</f>
        <v>0</v>
      </c>
      <c r="E14" s="175">
        <f>[6]รวม!$G$118+[6]รวม!$H$118+[6]รวม!$I$118</f>
        <v>0</v>
      </c>
      <c r="F14" s="175">
        <f>[6]รวม!$J$118</f>
        <v>0</v>
      </c>
      <c r="G14" s="175">
        <f>[6]รวม!$K$118+[6]รวม!$L$118+[6]รวม!$M$118</f>
        <v>0</v>
      </c>
      <c r="H14" s="175">
        <f>[6]รวม!$N$118+[6]รวม!$O$118</f>
        <v>0</v>
      </c>
      <c r="I14" s="175">
        <f>[6]รวม!$P$118+[6]รวม!$Q$118</f>
        <v>0</v>
      </c>
      <c r="J14" s="175">
        <f>[6]รวม!$R$118</f>
        <v>0</v>
      </c>
      <c r="K14" s="177">
        <v>0</v>
      </c>
      <c r="L14" s="176">
        <f t="shared" si="0"/>
        <v>0</v>
      </c>
    </row>
    <row r="15" spans="1:14" x14ac:dyDescent="0.6">
      <c r="A15" s="173" t="s">
        <v>255</v>
      </c>
      <c r="B15" s="174" t="s">
        <v>80</v>
      </c>
      <c r="C15" s="175">
        <f>[6]รวม!$C$126+[6]รวม!$D$126+[6]รวม!$E$126</f>
        <v>0</v>
      </c>
      <c r="D15" s="175">
        <f>[6]รวม!$F$126</f>
        <v>0</v>
      </c>
      <c r="E15" s="175">
        <f>[6]รวม!$G$126+[6]รวม!$H$126+[6]รวม!$I$126</f>
        <v>0</v>
      </c>
      <c r="F15" s="175">
        <f>[6]รวม!$J$126</f>
        <v>0</v>
      </c>
      <c r="G15" s="175">
        <f>[6]รวม!$K$126+[6]รวม!$L$126+[6]รวม!$M$126</f>
        <v>0</v>
      </c>
      <c r="H15" s="175">
        <f>[6]รวม!$N$126+[6]รวม!$O$126</f>
        <v>0</v>
      </c>
      <c r="I15" s="175">
        <f>[6]รวม!$P$126+[6]รวม!$Q$126</f>
        <v>0</v>
      </c>
      <c r="J15" s="175">
        <f>[6]รวม!$R$126</f>
        <v>0</v>
      </c>
      <c r="K15" s="180">
        <v>0</v>
      </c>
      <c r="L15" s="181">
        <f t="shared" si="0"/>
        <v>0</v>
      </c>
    </row>
    <row r="16" spans="1:14" x14ac:dyDescent="0.6">
      <c r="A16" s="182" t="s">
        <v>54</v>
      </c>
      <c r="B16" s="183" t="s">
        <v>54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84">
        <f>[6]รวม!$S$15</f>
        <v>0</v>
      </c>
      <c r="L16" s="184">
        <f t="shared" si="0"/>
        <v>0</v>
      </c>
    </row>
    <row r="17" spans="1:14" ht="25.5" thickBot="1" x14ac:dyDescent="0.65">
      <c r="A17" s="185"/>
      <c r="B17" s="186" t="s">
        <v>5</v>
      </c>
      <c r="C17" s="187">
        <f t="shared" ref="C17:L17" si="1">SUM(C6:C15)</f>
        <v>0</v>
      </c>
      <c r="D17" s="187">
        <f t="shared" si="1"/>
        <v>0</v>
      </c>
      <c r="E17" s="187">
        <f t="shared" si="1"/>
        <v>0</v>
      </c>
      <c r="F17" s="187">
        <f t="shared" si="1"/>
        <v>0</v>
      </c>
      <c r="G17" s="187">
        <f t="shared" si="1"/>
        <v>0</v>
      </c>
      <c r="H17" s="187">
        <f t="shared" si="1"/>
        <v>0</v>
      </c>
      <c r="I17" s="187">
        <f t="shared" si="1"/>
        <v>0</v>
      </c>
      <c r="J17" s="187">
        <f t="shared" si="1"/>
        <v>0</v>
      </c>
      <c r="K17" s="187">
        <f t="shared" si="1"/>
        <v>0</v>
      </c>
      <c r="L17" s="187">
        <f t="shared" si="1"/>
        <v>0</v>
      </c>
      <c r="N17" s="179" t="e">
        <f>#REF!+L17</f>
        <v>#REF!</v>
      </c>
    </row>
    <row r="18" spans="1:14" ht="25.5" thickTop="1" x14ac:dyDescent="0.6">
      <c r="A18" s="188"/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N18" s="179"/>
    </row>
    <row r="19" spans="1:14" x14ac:dyDescent="0.6">
      <c r="A19" s="188"/>
      <c r="B19" s="189"/>
      <c r="C19" s="190"/>
      <c r="D19" s="190"/>
      <c r="E19" s="190"/>
      <c r="F19" s="190"/>
      <c r="G19" s="190"/>
      <c r="H19" s="190"/>
      <c r="I19" s="190"/>
      <c r="J19" s="190"/>
      <c r="K19" s="190"/>
      <c r="N19" s="179"/>
    </row>
    <row r="20" spans="1:14" x14ac:dyDescent="0.6">
      <c r="A20" s="188"/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N20" s="179"/>
    </row>
    <row r="21" spans="1:14" x14ac:dyDescent="0.6">
      <c r="A21" s="188"/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N21" s="179"/>
    </row>
    <row r="22" spans="1:14" x14ac:dyDescent="0.6">
      <c r="A22" s="188"/>
      <c r="B22" s="189"/>
      <c r="C22" s="190"/>
      <c r="D22" s="190"/>
      <c r="E22" s="190"/>
      <c r="F22" s="190"/>
      <c r="G22" s="190"/>
      <c r="H22" s="190"/>
      <c r="I22" s="190"/>
      <c r="J22" s="190"/>
      <c r="K22" s="190"/>
      <c r="N22" s="179"/>
    </row>
    <row r="23" spans="1:14" x14ac:dyDescent="0.6">
      <c r="A23" s="188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N23" s="179"/>
    </row>
    <row r="24" spans="1:14" x14ac:dyDescent="0.6">
      <c r="A24" s="188"/>
      <c r="B24" s="189"/>
      <c r="C24" s="190"/>
      <c r="D24" s="190"/>
      <c r="E24" s="190"/>
      <c r="F24" s="190"/>
      <c r="G24" s="190"/>
      <c r="H24" s="190"/>
      <c r="I24" s="190"/>
      <c r="J24" s="190"/>
      <c r="K24" s="190"/>
      <c r="N24" s="179"/>
    </row>
    <row r="25" spans="1:14" x14ac:dyDescent="0.6">
      <c r="A25" s="188"/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N25" s="179"/>
    </row>
    <row r="26" spans="1:14" x14ac:dyDescent="0.6">
      <c r="A26" s="188"/>
      <c r="B26" s="189"/>
      <c r="C26" s="190"/>
      <c r="D26" s="190"/>
      <c r="E26" s="190"/>
      <c r="F26" s="190"/>
      <c r="G26" s="190"/>
      <c r="H26" s="190"/>
      <c r="I26" s="190"/>
      <c r="J26" s="190"/>
      <c r="K26" s="190"/>
      <c r="N26" s="179"/>
    </row>
    <row r="27" spans="1:14" x14ac:dyDescent="0.6">
      <c r="A27" s="188"/>
      <c r="B27" s="189"/>
      <c r="C27" s="190"/>
      <c r="D27" s="190"/>
      <c r="E27" s="190"/>
      <c r="F27" s="190"/>
      <c r="G27" s="190"/>
      <c r="H27" s="190"/>
      <c r="I27" s="190"/>
      <c r="J27" s="190"/>
      <c r="K27" s="190"/>
      <c r="N27" s="179"/>
    </row>
    <row r="28" spans="1:14" x14ac:dyDescent="0.6">
      <c r="A28" s="188"/>
      <c r="B28" s="189"/>
      <c r="C28" s="190"/>
      <c r="D28" s="190"/>
      <c r="E28" s="190"/>
      <c r="F28" s="190"/>
      <c r="G28" s="190"/>
      <c r="H28" s="190"/>
      <c r="I28" s="190"/>
      <c r="J28" s="190"/>
      <c r="K28" s="190"/>
      <c r="N28" s="179"/>
    </row>
    <row r="29" spans="1:14" x14ac:dyDescent="0.6">
      <c r="A29" s="188"/>
      <c r="B29" s="189"/>
      <c r="C29" s="190"/>
      <c r="D29" s="190"/>
      <c r="E29" s="190"/>
      <c r="F29" s="190"/>
      <c r="G29" s="190"/>
      <c r="H29" s="190"/>
      <c r="I29" s="190"/>
      <c r="J29" s="190"/>
      <c r="K29" s="190"/>
      <c r="N29" s="179"/>
    </row>
    <row r="30" spans="1:14" x14ac:dyDescent="0.6">
      <c r="A30" s="188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N30" s="179"/>
    </row>
    <row r="31" spans="1:14" x14ac:dyDescent="0.6">
      <c r="A31" s="188"/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N31" s="179"/>
    </row>
    <row r="32" spans="1:14" x14ac:dyDescent="0.6">
      <c r="A32" s="188"/>
      <c r="B32" s="189"/>
      <c r="C32" s="190"/>
      <c r="D32" s="190"/>
      <c r="E32" s="190"/>
      <c r="F32" s="190"/>
      <c r="G32" s="190"/>
      <c r="H32" s="190"/>
      <c r="I32" s="190"/>
      <c r="J32" s="190"/>
      <c r="K32" s="190"/>
      <c r="N32" s="179"/>
    </row>
    <row r="33" spans="1:14" x14ac:dyDescent="0.6">
      <c r="A33" s="188"/>
      <c r="B33" s="189"/>
      <c r="C33" s="190"/>
      <c r="D33" s="190"/>
      <c r="E33" s="190"/>
      <c r="F33" s="190"/>
      <c r="G33" s="190"/>
      <c r="H33" s="190"/>
      <c r="I33" s="190"/>
      <c r="J33" s="190"/>
      <c r="K33" s="190"/>
      <c r="N33" s="179"/>
    </row>
    <row r="34" spans="1:14" x14ac:dyDescent="0.6">
      <c r="A34" s="188"/>
      <c r="B34" s="189"/>
      <c r="C34" s="190"/>
      <c r="D34" s="190"/>
      <c r="E34" s="190"/>
      <c r="F34" s="190"/>
      <c r="G34" s="190"/>
      <c r="H34" s="190"/>
      <c r="I34" s="190"/>
      <c r="J34" s="190"/>
      <c r="K34" s="190"/>
      <c r="N34" s="179"/>
    </row>
    <row r="35" spans="1:14" x14ac:dyDescent="0.6">
      <c r="A35" s="188"/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N35" s="179"/>
    </row>
    <row r="36" spans="1:14" x14ac:dyDescent="0.6">
      <c r="A36" s="188"/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N36" s="179"/>
    </row>
    <row r="37" spans="1:14" ht="27.75" x14ac:dyDescent="0.5">
      <c r="A37" s="363" t="s">
        <v>0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  <row r="38" spans="1:14" ht="27.75" x14ac:dyDescent="0.5">
      <c r="A38" s="363" t="s">
        <v>257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</row>
    <row r="39" spans="1:14" ht="27.75" x14ac:dyDescent="0.5">
      <c r="A39" s="363" t="s">
        <v>399</v>
      </c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</row>
    <row r="40" spans="1:14" ht="74.25" x14ac:dyDescent="0.5">
      <c r="A40" s="362" t="s">
        <v>60</v>
      </c>
      <c r="B40" s="362"/>
      <c r="C40" s="168" t="s">
        <v>57</v>
      </c>
      <c r="D40" s="168" t="s">
        <v>61</v>
      </c>
      <c r="E40" s="168" t="s">
        <v>58</v>
      </c>
      <c r="F40" s="168" t="s">
        <v>62</v>
      </c>
      <c r="G40" s="168" t="s">
        <v>59</v>
      </c>
      <c r="H40" s="168" t="s">
        <v>63</v>
      </c>
      <c r="I40" s="168" t="s">
        <v>64</v>
      </c>
      <c r="J40" s="168" t="s">
        <v>65</v>
      </c>
      <c r="K40" s="168" t="s">
        <v>54</v>
      </c>
      <c r="L40" s="168" t="s">
        <v>5</v>
      </c>
    </row>
    <row r="41" spans="1:14" x14ac:dyDescent="0.6">
      <c r="A41" s="169" t="s">
        <v>66</v>
      </c>
      <c r="B41" s="170"/>
      <c r="C41" s="171"/>
      <c r="D41" s="172"/>
      <c r="E41" s="172"/>
      <c r="F41" s="172"/>
      <c r="G41" s="172"/>
      <c r="H41" s="172"/>
      <c r="I41" s="172"/>
      <c r="J41" s="172"/>
      <c r="K41" s="172"/>
      <c r="L41" s="171"/>
    </row>
    <row r="42" spans="1:14" x14ac:dyDescent="0.6">
      <c r="A42" s="173" t="s">
        <v>251</v>
      </c>
      <c r="B42" s="174" t="s">
        <v>67</v>
      </c>
      <c r="C42" s="175">
        <v>0</v>
      </c>
      <c r="D42" s="175">
        <v>0</v>
      </c>
      <c r="E42" s="175">
        <v>0</v>
      </c>
      <c r="F42" s="175">
        <v>0</v>
      </c>
      <c r="G42" s="175">
        <v>0</v>
      </c>
      <c r="H42" s="175">
        <v>0</v>
      </c>
      <c r="I42" s="175">
        <v>0</v>
      </c>
      <c r="J42" s="175">
        <v>0</v>
      </c>
      <c r="K42" s="175">
        <v>0</v>
      </c>
      <c r="L42" s="175">
        <f t="shared" ref="L42:L52" si="2">SUM(C42:K42)</f>
        <v>0</v>
      </c>
    </row>
    <row r="43" spans="1:14" x14ac:dyDescent="0.6">
      <c r="A43" s="173"/>
      <c r="B43" s="174" t="s">
        <v>68</v>
      </c>
      <c r="C43" s="175">
        <v>0</v>
      </c>
      <c r="D43" s="175">
        <v>0</v>
      </c>
      <c r="E43" s="175">
        <v>0</v>
      </c>
      <c r="F43" s="175">
        <v>0</v>
      </c>
      <c r="G43" s="175">
        <v>0</v>
      </c>
      <c r="H43" s="175">
        <v>0</v>
      </c>
      <c r="I43" s="175">
        <v>0</v>
      </c>
      <c r="J43" s="175">
        <v>0</v>
      </c>
      <c r="K43" s="175">
        <v>0</v>
      </c>
      <c r="L43" s="176">
        <f t="shared" si="2"/>
        <v>0</v>
      </c>
    </row>
    <row r="44" spans="1:14" x14ac:dyDescent="0.6">
      <c r="A44" s="173" t="s">
        <v>252</v>
      </c>
      <c r="B44" s="174" t="s">
        <v>40</v>
      </c>
      <c r="C44" s="175">
        <v>0</v>
      </c>
      <c r="D44" s="175">
        <v>0</v>
      </c>
      <c r="E44" s="175">
        <v>0</v>
      </c>
      <c r="F44" s="175">
        <v>0</v>
      </c>
      <c r="G44" s="175">
        <v>0</v>
      </c>
      <c r="H44" s="175">
        <v>0</v>
      </c>
      <c r="I44" s="175">
        <v>0</v>
      </c>
      <c r="J44" s="175">
        <v>0</v>
      </c>
      <c r="K44" s="175">
        <v>0</v>
      </c>
      <c r="L44" s="176">
        <f t="shared" si="2"/>
        <v>0</v>
      </c>
    </row>
    <row r="45" spans="1:14" x14ac:dyDescent="0.6">
      <c r="A45" s="173"/>
      <c r="B45" s="174" t="s">
        <v>47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  <c r="H45" s="175">
        <v>0</v>
      </c>
      <c r="I45" s="175">
        <v>0</v>
      </c>
      <c r="J45" s="175">
        <v>0</v>
      </c>
      <c r="K45" s="175">
        <v>0</v>
      </c>
      <c r="L45" s="176">
        <f t="shared" si="2"/>
        <v>0</v>
      </c>
    </row>
    <row r="46" spans="1:14" x14ac:dyDescent="0.6">
      <c r="A46" s="173"/>
      <c r="B46" s="174" t="s">
        <v>39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  <c r="I46" s="175">
        <v>0</v>
      </c>
      <c r="J46" s="175">
        <v>0</v>
      </c>
      <c r="K46" s="175">
        <v>0</v>
      </c>
      <c r="L46" s="176">
        <f t="shared" si="2"/>
        <v>0</v>
      </c>
    </row>
    <row r="47" spans="1:14" x14ac:dyDescent="0.6">
      <c r="A47" s="173"/>
      <c r="B47" s="174" t="s">
        <v>69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  <c r="H47" s="175">
        <v>0</v>
      </c>
      <c r="I47" s="175">
        <v>0</v>
      </c>
      <c r="J47" s="175">
        <v>0</v>
      </c>
      <c r="K47" s="175">
        <v>0</v>
      </c>
      <c r="L47" s="176">
        <f t="shared" si="2"/>
        <v>0</v>
      </c>
    </row>
    <row r="48" spans="1:14" x14ac:dyDescent="0.6">
      <c r="A48" s="173" t="s">
        <v>253</v>
      </c>
      <c r="B48" s="174" t="s">
        <v>71</v>
      </c>
      <c r="C48" s="175">
        <v>0</v>
      </c>
      <c r="D48" s="175">
        <v>0</v>
      </c>
      <c r="E48" s="175">
        <v>0</v>
      </c>
      <c r="F48" s="175">
        <v>0</v>
      </c>
      <c r="G48" s="175">
        <v>0</v>
      </c>
      <c r="H48" s="175">
        <v>0</v>
      </c>
      <c r="I48" s="175">
        <v>0</v>
      </c>
      <c r="J48" s="175">
        <v>0</v>
      </c>
      <c r="K48" s="175">
        <v>0</v>
      </c>
      <c r="L48" s="176">
        <f t="shared" si="2"/>
        <v>0</v>
      </c>
    </row>
    <row r="49" spans="1:12" x14ac:dyDescent="0.6">
      <c r="A49" s="173"/>
      <c r="B49" s="174" t="s">
        <v>70</v>
      </c>
      <c r="C49" s="175">
        <v>0</v>
      </c>
      <c r="D49" s="175">
        <v>0</v>
      </c>
      <c r="E49" s="175">
        <v>0</v>
      </c>
      <c r="F49" s="175">
        <v>0</v>
      </c>
      <c r="G49" s="175">
        <f>[7]รวม!$L$108</f>
        <v>200000</v>
      </c>
      <c r="H49" s="175">
        <v>0</v>
      </c>
      <c r="I49" s="175">
        <v>0</v>
      </c>
      <c r="J49" s="175">
        <v>0</v>
      </c>
      <c r="K49" s="175">
        <v>0</v>
      </c>
      <c r="L49" s="176">
        <f t="shared" si="2"/>
        <v>200000</v>
      </c>
    </row>
    <row r="50" spans="1:12" x14ac:dyDescent="0.6">
      <c r="A50" s="173" t="s">
        <v>254</v>
      </c>
      <c r="B50" s="174" t="s">
        <v>79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  <c r="H50" s="175">
        <v>0</v>
      </c>
      <c r="I50" s="175">
        <v>0</v>
      </c>
      <c r="J50" s="175">
        <v>0</v>
      </c>
      <c r="K50" s="175">
        <v>0</v>
      </c>
      <c r="L50" s="176">
        <f t="shared" si="2"/>
        <v>0</v>
      </c>
    </row>
    <row r="51" spans="1:12" x14ac:dyDescent="0.6">
      <c r="A51" s="173" t="s">
        <v>255</v>
      </c>
      <c r="B51" s="174" t="s">
        <v>80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  <c r="H51" s="175">
        <v>0</v>
      </c>
      <c r="I51" s="175">
        <v>0</v>
      </c>
      <c r="J51" s="175">
        <v>0</v>
      </c>
      <c r="K51" s="175">
        <v>0</v>
      </c>
      <c r="L51" s="181">
        <f t="shared" si="2"/>
        <v>0</v>
      </c>
    </row>
    <row r="52" spans="1:12" x14ac:dyDescent="0.6">
      <c r="A52" s="182" t="s">
        <v>54</v>
      </c>
      <c r="B52" s="182" t="s">
        <v>54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0</v>
      </c>
      <c r="K52" s="175">
        <v>0</v>
      </c>
      <c r="L52" s="184">
        <f t="shared" si="2"/>
        <v>0</v>
      </c>
    </row>
    <row r="53" spans="1:12" ht="25.5" thickBot="1" x14ac:dyDescent="0.65">
      <c r="A53" s="185"/>
      <c r="B53" s="186" t="s">
        <v>5</v>
      </c>
      <c r="C53" s="187">
        <f t="shared" ref="C53:L53" si="3">SUM(C42:C51)</f>
        <v>0</v>
      </c>
      <c r="D53" s="187">
        <f t="shared" si="3"/>
        <v>0</v>
      </c>
      <c r="E53" s="187">
        <f t="shared" si="3"/>
        <v>0</v>
      </c>
      <c r="F53" s="187">
        <f t="shared" si="3"/>
        <v>0</v>
      </c>
      <c r="G53" s="187">
        <f t="shared" si="3"/>
        <v>200000</v>
      </c>
      <c r="H53" s="187">
        <f t="shared" si="3"/>
        <v>0</v>
      </c>
      <c r="I53" s="187">
        <f t="shared" si="3"/>
        <v>0</v>
      </c>
      <c r="J53" s="187">
        <f t="shared" si="3"/>
        <v>0</v>
      </c>
      <c r="K53" s="187">
        <f t="shared" si="3"/>
        <v>0</v>
      </c>
      <c r="L53" s="187">
        <f t="shared" si="3"/>
        <v>200000</v>
      </c>
    </row>
    <row r="54" spans="1:12" ht="25.5" thickTop="1" x14ac:dyDescent="0.6"/>
    <row r="71" spans="1:12" ht="27.75" x14ac:dyDescent="0.5">
      <c r="A71" s="363" t="s">
        <v>0</v>
      </c>
      <c r="B71" s="363"/>
      <c r="C71" s="363"/>
      <c r="D71" s="363"/>
      <c r="E71" s="363"/>
      <c r="F71" s="363"/>
      <c r="G71" s="363"/>
      <c r="H71" s="363"/>
      <c r="I71" s="363"/>
      <c r="J71" s="363"/>
      <c r="K71" s="363"/>
      <c r="L71" s="363"/>
    </row>
    <row r="72" spans="1:12" ht="27.75" x14ac:dyDescent="0.5">
      <c r="A72" s="363" t="s">
        <v>258</v>
      </c>
      <c r="B72" s="363"/>
      <c r="C72" s="363"/>
      <c r="D72" s="363"/>
      <c r="E72" s="363"/>
      <c r="F72" s="363"/>
      <c r="G72" s="363"/>
      <c r="H72" s="363"/>
      <c r="I72" s="363"/>
      <c r="J72" s="363"/>
      <c r="K72" s="363"/>
      <c r="L72" s="363"/>
    </row>
    <row r="73" spans="1:12" ht="27.75" x14ac:dyDescent="0.5">
      <c r="A73" s="363" t="s">
        <v>399</v>
      </c>
      <c r="B73" s="363"/>
      <c r="C73" s="363"/>
      <c r="D73" s="363"/>
      <c r="E73" s="363"/>
      <c r="F73" s="363"/>
      <c r="G73" s="363"/>
      <c r="H73" s="363"/>
      <c r="I73" s="363"/>
      <c r="J73" s="363"/>
      <c r="K73" s="363"/>
      <c r="L73" s="363"/>
    </row>
    <row r="74" spans="1:12" ht="74.25" x14ac:dyDescent="0.5">
      <c r="A74" s="362" t="s">
        <v>60</v>
      </c>
      <c r="B74" s="362"/>
      <c r="C74" s="168" t="s">
        <v>57</v>
      </c>
      <c r="D74" s="168" t="s">
        <v>61</v>
      </c>
      <c r="E74" s="168" t="s">
        <v>58</v>
      </c>
      <c r="F74" s="168" t="s">
        <v>62</v>
      </c>
      <c r="G74" s="168" t="s">
        <v>59</v>
      </c>
      <c r="H74" s="168" t="s">
        <v>63</v>
      </c>
      <c r="I74" s="168" t="s">
        <v>64</v>
      </c>
      <c r="J74" s="168" t="s">
        <v>65</v>
      </c>
      <c r="K74" s="168" t="s">
        <v>54</v>
      </c>
      <c r="L74" s="168" t="s">
        <v>5</v>
      </c>
    </row>
    <row r="75" spans="1:12" x14ac:dyDescent="0.6">
      <c r="A75" s="169" t="s">
        <v>66</v>
      </c>
      <c r="B75" s="170"/>
      <c r="C75" s="171"/>
      <c r="D75" s="172"/>
      <c r="E75" s="172"/>
      <c r="F75" s="172"/>
      <c r="G75" s="172"/>
      <c r="H75" s="172"/>
      <c r="I75" s="172"/>
      <c r="J75" s="172"/>
      <c r="K75" s="172"/>
      <c r="L75" s="171"/>
    </row>
    <row r="76" spans="1:12" x14ac:dyDescent="0.6">
      <c r="A76" s="173" t="s">
        <v>251</v>
      </c>
      <c r="B76" s="174" t="s">
        <v>67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175">
        <v>0</v>
      </c>
      <c r="L76" s="175">
        <f t="shared" ref="L76:L86" si="4">SUM(C76:K76)</f>
        <v>0</v>
      </c>
    </row>
    <row r="77" spans="1:12" x14ac:dyDescent="0.6">
      <c r="A77" s="173"/>
      <c r="B77" s="174" t="s">
        <v>68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175">
        <v>0</v>
      </c>
      <c r="L77" s="176">
        <f t="shared" si="4"/>
        <v>0</v>
      </c>
    </row>
    <row r="78" spans="1:12" x14ac:dyDescent="0.6">
      <c r="A78" s="173" t="s">
        <v>252</v>
      </c>
      <c r="B78" s="174" t="s">
        <v>40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175">
        <v>0</v>
      </c>
      <c r="L78" s="176">
        <f t="shared" si="4"/>
        <v>0</v>
      </c>
    </row>
    <row r="79" spans="1:12" x14ac:dyDescent="0.6">
      <c r="A79" s="173"/>
      <c r="B79" s="174" t="s">
        <v>47</v>
      </c>
      <c r="C79" s="175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175">
        <v>0</v>
      </c>
      <c r="L79" s="176">
        <f t="shared" si="4"/>
        <v>0</v>
      </c>
    </row>
    <row r="80" spans="1:12" x14ac:dyDescent="0.6">
      <c r="A80" s="173"/>
      <c r="B80" s="174" t="s">
        <v>39</v>
      </c>
      <c r="C80" s="175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175">
        <v>0</v>
      </c>
      <c r="L80" s="176">
        <f t="shared" si="4"/>
        <v>0</v>
      </c>
    </row>
    <row r="81" spans="1:12" x14ac:dyDescent="0.6">
      <c r="A81" s="173"/>
      <c r="B81" s="174" t="s">
        <v>69</v>
      </c>
      <c r="C81" s="175">
        <v>0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175">
        <v>0</v>
      </c>
      <c r="L81" s="176">
        <f t="shared" si="4"/>
        <v>0</v>
      </c>
    </row>
    <row r="82" spans="1:12" x14ac:dyDescent="0.6">
      <c r="A82" s="173" t="s">
        <v>253</v>
      </c>
      <c r="B82" s="174" t="s">
        <v>71</v>
      </c>
      <c r="C82" s="175">
        <v>0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175">
        <v>0</v>
      </c>
      <c r="L82" s="176">
        <f t="shared" si="4"/>
        <v>0</v>
      </c>
    </row>
    <row r="83" spans="1:12" x14ac:dyDescent="0.6">
      <c r="A83" s="173"/>
      <c r="B83" s="174" t="s">
        <v>70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175">
        <v>0</v>
      </c>
      <c r="L83" s="176">
        <f t="shared" si="4"/>
        <v>0</v>
      </c>
    </row>
    <row r="84" spans="1:12" x14ac:dyDescent="0.6">
      <c r="A84" s="173" t="s">
        <v>254</v>
      </c>
      <c r="B84" s="174" t="s">
        <v>79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175">
        <v>0</v>
      </c>
      <c r="L84" s="176">
        <f t="shared" si="4"/>
        <v>0</v>
      </c>
    </row>
    <row r="85" spans="1:12" x14ac:dyDescent="0.6">
      <c r="A85" s="173" t="s">
        <v>255</v>
      </c>
      <c r="B85" s="174" t="s">
        <v>80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175">
        <v>0</v>
      </c>
      <c r="L85" s="181">
        <f t="shared" si="4"/>
        <v>0</v>
      </c>
    </row>
    <row r="86" spans="1:12" x14ac:dyDescent="0.6">
      <c r="A86" s="182" t="s">
        <v>54</v>
      </c>
      <c r="B86" s="182" t="s">
        <v>54</v>
      </c>
      <c r="C86" s="175">
        <v>0</v>
      </c>
      <c r="D86" s="175">
        <v>0</v>
      </c>
      <c r="E86" s="175">
        <v>0</v>
      </c>
      <c r="F86" s="175">
        <v>0</v>
      </c>
      <c r="G86" s="175">
        <v>0</v>
      </c>
      <c r="H86" s="175">
        <v>0</v>
      </c>
      <c r="I86" s="175">
        <v>0</v>
      </c>
      <c r="J86" s="175">
        <v>0</v>
      </c>
      <c r="K86" s="175">
        <v>0</v>
      </c>
      <c r="L86" s="184">
        <f t="shared" si="4"/>
        <v>0</v>
      </c>
    </row>
    <row r="87" spans="1:12" ht="25.5" thickBot="1" x14ac:dyDescent="0.65">
      <c r="A87" s="185"/>
      <c r="B87" s="186" t="s">
        <v>5</v>
      </c>
      <c r="C87" s="187">
        <f t="shared" ref="C87:L87" si="5">SUM(C76:C85)</f>
        <v>0</v>
      </c>
      <c r="D87" s="187">
        <f t="shared" si="5"/>
        <v>0</v>
      </c>
      <c r="E87" s="187">
        <f t="shared" si="5"/>
        <v>0</v>
      </c>
      <c r="F87" s="187">
        <f t="shared" si="5"/>
        <v>0</v>
      </c>
      <c r="G87" s="187">
        <f t="shared" si="5"/>
        <v>0</v>
      </c>
      <c r="H87" s="187">
        <f t="shared" si="5"/>
        <v>0</v>
      </c>
      <c r="I87" s="187">
        <f t="shared" si="5"/>
        <v>0</v>
      </c>
      <c r="J87" s="187">
        <f t="shared" si="5"/>
        <v>0</v>
      </c>
      <c r="K87" s="187">
        <f t="shared" si="5"/>
        <v>0</v>
      </c>
      <c r="L87" s="187">
        <f t="shared" si="5"/>
        <v>0</v>
      </c>
    </row>
    <row r="88" spans="1:12" ht="25.5" thickTop="1" x14ac:dyDescent="0.6"/>
  </sheetData>
  <mergeCells count="11">
    <mergeCell ref="A74:B74"/>
    <mergeCell ref="A72:L72"/>
    <mergeCell ref="A1:L1"/>
    <mergeCell ref="A2:L2"/>
    <mergeCell ref="A3:L3"/>
    <mergeCell ref="A73:L73"/>
    <mergeCell ref="A37:L37"/>
    <mergeCell ref="A38:L38"/>
    <mergeCell ref="A39:L39"/>
    <mergeCell ref="A40:B40"/>
    <mergeCell ref="A71:L71"/>
  </mergeCells>
  <pageMargins left="0.61" right="0.3" top="0.73" bottom="0.15" header="0.17" footer="0.14000000000000001"/>
  <pageSetup paperSize="9" scale="6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3"/>
  <sheetViews>
    <sheetView tabSelected="1" view="pageBreakPreview" topLeftCell="A22" zoomScale="80" zoomScaleNormal="90" zoomScaleSheetLayoutView="80" workbookViewId="0">
      <selection activeCell="F159" sqref="F159"/>
    </sheetView>
  </sheetViews>
  <sheetFormatPr defaultRowHeight="24.75" x14ac:dyDescent="0.6"/>
  <cols>
    <col min="1" max="1" width="9.140625" style="165" bestFit="1" customWidth="1"/>
    <col min="2" max="2" width="36" style="165" bestFit="1" customWidth="1"/>
    <col min="3" max="3" width="20.140625" style="191" bestFit="1" customWidth="1"/>
    <col min="4" max="4" width="20.5703125" style="191" customWidth="1"/>
    <col min="5" max="5" width="20.28515625" style="191" bestFit="1" customWidth="1"/>
    <col min="6" max="6" width="20.28515625" style="178" bestFit="1" customWidth="1"/>
    <col min="7" max="7" width="18.85546875" style="178" customWidth="1"/>
    <col min="8" max="8" width="17.5703125" style="178" bestFit="1" customWidth="1"/>
    <col min="9" max="10" width="20.5703125" style="178" bestFit="1" customWidth="1"/>
    <col min="11" max="11" width="20.140625" style="178" bestFit="1" customWidth="1"/>
    <col min="12" max="12" width="15.42578125" style="178" bestFit="1" customWidth="1"/>
    <col min="13" max="13" width="18" style="178" customWidth="1"/>
    <col min="14" max="14" width="9.140625" style="165"/>
    <col min="15" max="16" width="18.5703125" style="165" bestFit="1" customWidth="1"/>
    <col min="17" max="17" width="16.85546875" style="165" bestFit="1" customWidth="1"/>
    <col min="18" max="18" width="15.7109375" style="165" bestFit="1" customWidth="1"/>
    <col min="19" max="21" width="13.85546875" style="165" bestFit="1" customWidth="1"/>
    <col min="22" max="22" width="15.7109375" style="165" bestFit="1" customWidth="1"/>
    <col min="23" max="24" width="13.85546875" style="165" bestFit="1" customWidth="1"/>
    <col min="25" max="25" width="12.42578125" style="165" bestFit="1" customWidth="1"/>
    <col min="26" max="26" width="15.7109375" style="165" bestFit="1" customWidth="1"/>
    <col min="27" max="16384" width="9.140625" style="165"/>
  </cols>
  <sheetData>
    <row r="1" spans="1:16" ht="27.75" x14ac:dyDescent="0.5">
      <c r="A1" s="363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6" ht="27.75" x14ac:dyDescent="0.5">
      <c r="A2" s="363" t="s">
        <v>55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</row>
    <row r="3" spans="1:16" ht="27.75" x14ac:dyDescent="0.5">
      <c r="A3" s="363" t="s">
        <v>399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</row>
    <row r="4" spans="1:16" s="193" customFormat="1" ht="49.5" x14ac:dyDescent="0.5">
      <c r="A4" s="362" t="s">
        <v>60</v>
      </c>
      <c r="B4" s="362"/>
      <c r="C4" s="168" t="s">
        <v>56</v>
      </c>
      <c r="D4" s="168" t="s">
        <v>5</v>
      </c>
      <c r="E4" s="168" t="s">
        <v>57</v>
      </c>
      <c r="F4" s="168" t="s">
        <v>61</v>
      </c>
      <c r="G4" s="168" t="s">
        <v>58</v>
      </c>
      <c r="H4" s="168" t="s">
        <v>62</v>
      </c>
      <c r="I4" s="168" t="s">
        <v>59</v>
      </c>
      <c r="J4" s="192" t="s">
        <v>63</v>
      </c>
      <c r="K4" s="192" t="s">
        <v>64</v>
      </c>
      <c r="L4" s="168" t="s">
        <v>65</v>
      </c>
      <c r="M4" s="168" t="s">
        <v>54</v>
      </c>
    </row>
    <row r="5" spans="1:16" x14ac:dyDescent="0.6">
      <c r="A5" s="194" t="s">
        <v>66</v>
      </c>
      <c r="B5" s="170"/>
      <c r="C5" s="171"/>
      <c r="D5" s="171"/>
      <c r="E5" s="171"/>
      <c r="F5" s="172"/>
      <c r="G5" s="172"/>
      <c r="H5" s="172"/>
      <c r="I5" s="172"/>
      <c r="J5" s="172"/>
      <c r="K5" s="172"/>
      <c r="L5" s="172"/>
      <c r="M5" s="172"/>
    </row>
    <row r="6" spans="1:16" x14ac:dyDescent="0.6">
      <c r="A6" s="195"/>
      <c r="B6" s="174" t="s">
        <v>54</v>
      </c>
      <c r="C6" s="175">
        <f>[8]ประมาณการ!$S$14+[9]รวม!$S$16</f>
        <v>7377650</v>
      </c>
      <c r="D6" s="175">
        <f>SUM(E6:M6)</f>
        <v>7055528.21</v>
      </c>
      <c r="E6" s="175">
        <v>0</v>
      </c>
      <c r="F6" s="196">
        <v>0</v>
      </c>
      <c r="G6" s="196">
        <v>0</v>
      </c>
      <c r="H6" s="196">
        <v>0</v>
      </c>
      <c r="I6" s="196">
        <v>0</v>
      </c>
      <c r="J6" s="196">
        <v>0</v>
      </c>
      <c r="K6" s="196">
        <v>0</v>
      </c>
      <c r="L6" s="196">
        <v>0</v>
      </c>
      <c r="M6" s="196">
        <f>แยกแผนงาน!E239</f>
        <v>7055528.21</v>
      </c>
      <c r="O6" s="197">
        <f>C6-D6</f>
        <v>322121.79000000004</v>
      </c>
      <c r="P6" s="197">
        <f>O6-193174</f>
        <v>128947.79000000004</v>
      </c>
    </row>
    <row r="7" spans="1:16" x14ac:dyDescent="0.6">
      <c r="A7" s="195"/>
      <c r="B7" s="174" t="s">
        <v>67</v>
      </c>
      <c r="C7" s="175">
        <f>[8]ประมาณการ!$T$22+[9]รวม!$T$24</f>
        <v>2624640</v>
      </c>
      <c r="D7" s="176">
        <f t="shared" ref="D7:D16" si="0">SUM(E7:M7)</f>
        <v>2508720</v>
      </c>
      <c r="E7" s="176">
        <f>แยกแผนงาน!G5</f>
        <v>2508720</v>
      </c>
      <c r="F7" s="177">
        <f>แยกแผนงาน!G36</f>
        <v>0</v>
      </c>
      <c r="G7" s="177">
        <f>แยกแผนงาน!H65</f>
        <v>0</v>
      </c>
      <c r="H7" s="177">
        <f>แยกแผนงาน!H94</f>
        <v>0</v>
      </c>
      <c r="I7" s="177">
        <f>แยกแผนงาน!I123</f>
        <v>0</v>
      </c>
      <c r="J7" s="177">
        <f>แยกแผนงาน!F152</f>
        <v>0</v>
      </c>
      <c r="K7" s="177">
        <f>แยกแผนงาน!H182</f>
        <v>0</v>
      </c>
      <c r="L7" s="177">
        <f>แยกแผนงาน!F210</f>
        <v>0</v>
      </c>
      <c r="M7" s="196">
        <f>แยกแผนงาน!E240</f>
        <v>0</v>
      </c>
      <c r="O7" s="197">
        <f t="shared" ref="O7:O16" si="1">C7-D7</f>
        <v>115920</v>
      </c>
      <c r="P7" s="198">
        <f>L7-O7</f>
        <v>-115920</v>
      </c>
    </row>
    <row r="8" spans="1:16" x14ac:dyDescent="0.6">
      <c r="A8" s="195"/>
      <c r="B8" s="174" t="s">
        <v>68</v>
      </c>
      <c r="C8" s="175">
        <f>[8]ประมาณการ!$T$29+[9]รวม!$T$31</f>
        <v>6186130</v>
      </c>
      <c r="D8" s="176">
        <f t="shared" si="0"/>
        <v>5820354.5</v>
      </c>
      <c r="E8" s="176">
        <f>แยกแผนงาน!G6</f>
        <v>3744120</v>
      </c>
      <c r="F8" s="177">
        <f>แยกแผนงาน!G37</f>
        <v>0</v>
      </c>
      <c r="G8" s="177">
        <f>แยกแผนงาน!H66</f>
        <v>799194.5</v>
      </c>
      <c r="H8" s="177">
        <f>แยกแผนงาน!H95</f>
        <v>0</v>
      </c>
      <c r="I8" s="177">
        <f>แยกแผนงาน!I124</f>
        <v>991680</v>
      </c>
      <c r="J8" s="177">
        <f>แยกแผนงาน!F153</f>
        <v>285360</v>
      </c>
      <c r="K8" s="177">
        <f>แยกแผนงาน!H182</f>
        <v>0</v>
      </c>
      <c r="L8" s="177">
        <f>แยกแผนงาน!F211</f>
        <v>0</v>
      </c>
      <c r="M8" s="196">
        <f>แยกแผนงาน!E241</f>
        <v>0</v>
      </c>
      <c r="O8" s="197">
        <f t="shared" si="1"/>
        <v>365775.5</v>
      </c>
      <c r="P8" s="198">
        <f t="shared" ref="P8:P17" si="2">L8-O8</f>
        <v>-365775.5</v>
      </c>
    </row>
    <row r="9" spans="1:16" x14ac:dyDescent="0.6">
      <c r="A9" s="195"/>
      <c r="B9" s="174" t="s">
        <v>40</v>
      </c>
      <c r="C9" s="175">
        <f>[8]ประมาณการ!$T$38+[9]รวม!$T$40</f>
        <v>179700</v>
      </c>
      <c r="D9" s="176">
        <f>SUM(E9:M9)</f>
        <v>124912</v>
      </c>
      <c r="E9" s="176">
        <f>แยกแผนงาน!G7</f>
        <v>28912</v>
      </c>
      <c r="F9" s="177">
        <f>แยกแผนงาน!G38</f>
        <v>0</v>
      </c>
      <c r="G9" s="177">
        <f>แยกแผนงาน!H67</f>
        <v>2400</v>
      </c>
      <c r="H9" s="177">
        <f>แยกแผนงาน!H96</f>
        <v>0</v>
      </c>
      <c r="I9" s="177">
        <f>แยกแผนงาน!I125</f>
        <v>93600</v>
      </c>
      <c r="J9" s="177">
        <f>แยกแผนงาน!F154</f>
        <v>0</v>
      </c>
      <c r="K9" s="177">
        <f>แยกแผนงาน!H183</f>
        <v>0</v>
      </c>
      <c r="L9" s="177">
        <f>แยกแผนงาน!F212</f>
        <v>0</v>
      </c>
      <c r="M9" s="196">
        <f>แยกแผนงาน!E242</f>
        <v>0</v>
      </c>
      <c r="O9" s="197">
        <f t="shared" si="1"/>
        <v>54788</v>
      </c>
      <c r="P9" s="198">
        <f t="shared" si="2"/>
        <v>-54788</v>
      </c>
    </row>
    <row r="10" spans="1:16" x14ac:dyDescent="0.6">
      <c r="A10" s="195"/>
      <c r="B10" s="174" t="s">
        <v>47</v>
      </c>
      <c r="C10" s="175">
        <f>[8]ประมาณการ!$T$44+[9]รวม!$T$46</f>
        <v>4209550</v>
      </c>
      <c r="D10" s="176">
        <f t="shared" si="0"/>
        <v>3595453.6799999997</v>
      </c>
      <c r="E10" s="176">
        <f>แยกแผนงาน!G8</f>
        <v>1163609.68</v>
      </c>
      <c r="F10" s="177">
        <f>แยกแผนงาน!G39</f>
        <v>27738</v>
      </c>
      <c r="G10" s="177">
        <f>แยกแผนงาน!H68</f>
        <v>864960</v>
      </c>
      <c r="H10" s="177">
        <f>แยกแผนงาน!H97</f>
        <v>550066</v>
      </c>
      <c r="I10" s="177">
        <f>แยกแผนงาน!I126</f>
        <v>900760</v>
      </c>
      <c r="J10" s="177">
        <f>แยกแผนงาน!F155</f>
        <v>33000</v>
      </c>
      <c r="K10" s="177">
        <f>แยกแผนงาน!H184</f>
        <v>55320</v>
      </c>
      <c r="L10" s="177">
        <f>แยกแผนงาน!F213</f>
        <v>0</v>
      </c>
      <c r="M10" s="196">
        <f>แยกแผนงาน!E243</f>
        <v>0</v>
      </c>
      <c r="O10" s="197">
        <f t="shared" si="1"/>
        <v>614096.3200000003</v>
      </c>
      <c r="P10" s="198">
        <f t="shared" si="2"/>
        <v>-614096.3200000003</v>
      </c>
    </row>
    <row r="11" spans="1:16" x14ac:dyDescent="0.6">
      <c r="A11" s="195"/>
      <c r="B11" s="174" t="s">
        <v>39</v>
      </c>
      <c r="C11" s="175">
        <f>[8]ประมาณการ!$T$63+[9]รวม!$T$65</f>
        <v>1584080</v>
      </c>
      <c r="D11" s="176">
        <f t="shared" si="0"/>
        <v>1120627.33</v>
      </c>
      <c r="E11" s="176">
        <f>แยกแผนงาน!G9</f>
        <v>264745.90000000002</v>
      </c>
      <c r="F11" s="177">
        <f>แยกแผนงาน!G40</f>
        <v>31000</v>
      </c>
      <c r="G11" s="177">
        <f>แยกแผนงาน!H69</f>
        <v>308514.43000000005</v>
      </c>
      <c r="H11" s="177">
        <f>แยกแผนงาน!H98</f>
        <v>14829</v>
      </c>
      <c r="I11" s="177">
        <f>แยกแผนงาน!I127</f>
        <v>501538</v>
      </c>
      <c r="J11" s="177">
        <f>แยกแผนงาน!F156</f>
        <v>0</v>
      </c>
      <c r="K11" s="177">
        <f>แยกแผนงาน!H185</f>
        <v>0</v>
      </c>
      <c r="L11" s="177">
        <f>แยกแผนงาน!F214</f>
        <v>0</v>
      </c>
      <c r="M11" s="196">
        <f>แยกแผนงาน!E244</f>
        <v>0</v>
      </c>
      <c r="O11" s="197">
        <f t="shared" si="1"/>
        <v>463452.66999999993</v>
      </c>
      <c r="P11" s="198">
        <f t="shared" si="2"/>
        <v>-463452.66999999993</v>
      </c>
    </row>
    <row r="12" spans="1:16" x14ac:dyDescent="0.6">
      <c r="A12" s="195"/>
      <c r="B12" s="174" t="s">
        <v>69</v>
      </c>
      <c r="C12" s="175">
        <f>[8]ประมาณการ!$T$70+[9]รวม!$T$72</f>
        <v>430720</v>
      </c>
      <c r="D12" s="176">
        <f t="shared" si="0"/>
        <v>395444.84</v>
      </c>
      <c r="E12" s="176">
        <f>แยกแผนงาน!G10</f>
        <v>324488.67000000004</v>
      </c>
      <c r="F12" s="177">
        <f>แยกแผนงาน!G41</f>
        <v>0</v>
      </c>
      <c r="G12" s="177">
        <f>แยกแผนงาน!H70</f>
        <v>55548.17</v>
      </c>
      <c r="H12" s="177">
        <f>แยกแผนงาน!H99</f>
        <v>0</v>
      </c>
      <c r="I12" s="177">
        <f>แยกแผนงาน!I128</f>
        <v>15408</v>
      </c>
      <c r="J12" s="177">
        <f>แยกแผนงาน!F157</f>
        <v>0</v>
      </c>
      <c r="K12" s="177">
        <f>แยกแผนงาน!H186</f>
        <v>0</v>
      </c>
      <c r="L12" s="177">
        <f>แยกแผนงาน!F215</f>
        <v>0</v>
      </c>
      <c r="M12" s="196">
        <f>แยกแผนงาน!E245</f>
        <v>0</v>
      </c>
      <c r="O12" s="197">
        <f t="shared" si="1"/>
        <v>35275.159999999974</v>
      </c>
      <c r="P12" s="198">
        <f t="shared" si="2"/>
        <v>-35275.159999999974</v>
      </c>
    </row>
    <row r="13" spans="1:16" x14ac:dyDescent="0.6">
      <c r="A13" s="195"/>
      <c r="B13" s="174" t="s">
        <v>71</v>
      </c>
      <c r="C13" s="175">
        <f>[8]ประมาณการ!$T$90+[9]รวม!$T$92</f>
        <v>425700</v>
      </c>
      <c r="D13" s="176">
        <f t="shared" si="0"/>
        <v>330170</v>
      </c>
      <c r="E13" s="176">
        <f>แยกแผนงาน!G11</f>
        <v>140600</v>
      </c>
      <c r="F13" s="177">
        <f>แยกแผนงาน!G42</f>
        <v>0</v>
      </c>
      <c r="G13" s="177">
        <f>แยกแผนงาน!H71</f>
        <v>45370</v>
      </c>
      <c r="H13" s="177">
        <f>แยกแผนงาน!H100</f>
        <v>0</v>
      </c>
      <c r="I13" s="177">
        <f>แยกแผนงาน!I129</f>
        <v>144200</v>
      </c>
      <c r="J13" s="177">
        <f>แยกแผนงาน!F158</f>
        <v>0</v>
      </c>
      <c r="K13" s="177">
        <f>แยกแผนงาน!H187</f>
        <v>0</v>
      </c>
      <c r="L13" s="177">
        <f>แยกแผนงาน!F216</f>
        <v>0</v>
      </c>
      <c r="M13" s="196">
        <f>แยกแผนงาน!E246</f>
        <v>0</v>
      </c>
      <c r="O13" s="197">
        <f t="shared" si="1"/>
        <v>95530</v>
      </c>
      <c r="P13" s="198">
        <f t="shared" si="2"/>
        <v>-95530</v>
      </c>
    </row>
    <row r="14" spans="1:16" x14ac:dyDescent="0.6">
      <c r="A14" s="195"/>
      <c r="B14" s="174" t="s">
        <v>70</v>
      </c>
      <c r="C14" s="175">
        <f>[8]ประมาณการ!$T$104+[9]รวม!$T$106</f>
        <v>1679330</v>
      </c>
      <c r="D14" s="176">
        <f t="shared" si="0"/>
        <v>1566000</v>
      </c>
      <c r="E14" s="176">
        <f>แยกแผนงาน!G12</f>
        <v>0</v>
      </c>
      <c r="F14" s="177">
        <f>แยกแผนงาน!G43</f>
        <v>0</v>
      </c>
      <c r="G14" s="177">
        <f>แยกแผนงาน!H72</f>
        <v>0</v>
      </c>
      <c r="H14" s="177">
        <f>แยกแผนงาน!H101</f>
        <v>0</v>
      </c>
      <c r="I14" s="177">
        <f>แยกแผนงาน!I130</f>
        <v>1566000</v>
      </c>
      <c r="J14" s="177">
        <f>แยกแผนงาน!F159</f>
        <v>0</v>
      </c>
      <c r="K14" s="177">
        <f>แยกแผนงาน!H188</f>
        <v>0</v>
      </c>
      <c r="L14" s="177">
        <f>แยกแผนงาน!F217</f>
        <v>0</v>
      </c>
      <c r="M14" s="196">
        <f>แยกแผนงาน!E247</f>
        <v>0</v>
      </c>
      <c r="O14" s="197">
        <f t="shared" si="1"/>
        <v>113330</v>
      </c>
      <c r="P14" s="198">
        <f t="shared" si="2"/>
        <v>-113330</v>
      </c>
    </row>
    <row r="15" spans="1:16" x14ac:dyDescent="0.6">
      <c r="A15" s="195"/>
      <c r="B15" s="174" t="s">
        <v>79</v>
      </c>
      <c r="C15" s="175">
        <f>[8]ประมาณการ!$T$108+[9]รวม!$T$110</f>
        <v>5000</v>
      </c>
      <c r="D15" s="176">
        <f t="shared" si="0"/>
        <v>0</v>
      </c>
      <c r="E15" s="176">
        <f>แยกแผนงาน!G13</f>
        <v>0</v>
      </c>
      <c r="F15" s="177">
        <f>แยกแผนงาน!G44</f>
        <v>0</v>
      </c>
      <c r="G15" s="177">
        <f>แยกแผนงาน!H73</f>
        <v>0</v>
      </c>
      <c r="H15" s="177">
        <f>แยกแผนงาน!H102</f>
        <v>0</v>
      </c>
      <c r="I15" s="177">
        <f>แยกแผนงาน!I131</f>
        <v>0</v>
      </c>
      <c r="J15" s="177">
        <f>แยกแผนงาน!F160</f>
        <v>0</v>
      </c>
      <c r="K15" s="177">
        <f>แยกแผนงาน!H189</f>
        <v>0</v>
      </c>
      <c r="L15" s="177">
        <f>แยกแผนงาน!F218</f>
        <v>0</v>
      </c>
      <c r="M15" s="196">
        <f>แยกแผนงาน!E248</f>
        <v>0</v>
      </c>
      <c r="O15" s="197">
        <f t="shared" si="1"/>
        <v>5000</v>
      </c>
      <c r="P15" s="198">
        <f t="shared" si="2"/>
        <v>-5000</v>
      </c>
    </row>
    <row r="16" spans="1:16" x14ac:dyDescent="0.6">
      <c r="A16" s="195"/>
      <c r="B16" s="174" t="s">
        <v>80</v>
      </c>
      <c r="C16" s="175">
        <f>[8]ประมาณการ!$T$115+[9]รวม!$T$117</f>
        <v>365000</v>
      </c>
      <c r="D16" s="184">
        <f t="shared" si="0"/>
        <v>358410.64</v>
      </c>
      <c r="E16" s="176">
        <f>แยกแผนงาน!G14</f>
        <v>55000</v>
      </c>
      <c r="F16" s="177">
        <f>แยกแผนงาน!G45</f>
        <v>0</v>
      </c>
      <c r="G16" s="177">
        <f>แยกแผนงาน!H74</f>
        <v>233660</v>
      </c>
      <c r="H16" s="177">
        <f>แยกแผนงาน!H103</f>
        <v>0</v>
      </c>
      <c r="I16" s="177">
        <f>แยกแผนงาน!I132</f>
        <v>0</v>
      </c>
      <c r="J16" s="177">
        <f>แยกแผนงาน!F161</f>
        <v>25000</v>
      </c>
      <c r="K16" s="177">
        <f>แยกแผนงาน!H190</f>
        <v>44750.64</v>
      </c>
      <c r="L16" s="177">
        <f>แยกแผนงาน!F219</f>
        <v>0</v>
      </c>
      <c r="M16" s="196">
        <f>แยกแผนงาน!E249</f>
        <v>0</v>
      </c>
      <c r="O16" s="197">
        <f t="shared" si="1"/>
        <v>6589.359999999986</v>
      </c>
      <c r="P16" s="198">
        <f t="shared" si="2"/>
        <v>-6589.359999999986</v>
      </c>
    </row>
    <row r="17" spans="1:16" ht="25.5" thickBot="1" x14ac:dyDescent="0.65">
      <c r="A17" s="195"/>
      <c r="B17" s="199" t="s">
        <v>5</v>
      </c>
      <c r="C17" s="187">
        <f>SUM(C6:C16)</f>
        <v>25067500</v>
      </c>
      <c r="D17" s="187">
        <f>SUM(D6:D16)</f>
        <v>22875621.199999999</v>
      </c>
      <c r="E17" s="187">
        <f t="shared" ref="E17:M17" si="3">SUM(E6:E16)</f>
        <v>8230196.25</v>
      </c>
      <c r="F17" s="187">
        <f t="shared" si="3"/>
        <v>58738</v>
      </c>
      <c r="G17" s="187">
        <f t="shared" si="3"/>
        <v>2309647.1</v>
      </c>
      <c r="H17" s="187">
        <f t="shared" si="3"/>
        <v>564895</v>
      </c>
      <c r="I17" s="187">
        <f t="shared" si="3"/>
        <v>4213186</v>
      </c>
      <c r="J17" s="187">
        <f t="shared" si="3"/>
        <v>343360</v>
      </c>
      <c r="K17" s="187">
        <f t="shared" si="3"/>
        <v>100070.64</v>
      </c>
      <c r="L17" s="187">
        <f t="shared" si="3"/>
        <v>0</v>
      </c>
      <c r="M17" s="187">
        <f t="shared" si="3"/>
        <v>7055528.21</v>
      </c>
      <c r="O17" s="197">
        <f>SUM(O6:O16)</f>
        <v>2191878.8000000003</v>
      </c>
      <c r="P17" s="165">
        <f t="shared" si="2"/>
        <v>-2191878.8000000003</v>
      </c>
    </row>
    <row r="18" spans="1:16" ht="25.5" thickTop="1" x14ac:dyDescent="0.6">
      <c r="A18" s="194" t="s">
        <v>261</v>
      </c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O18" s="197"/>
    </row>
    <row r="19" spans="1:16" x14ac:dyDescent="0.6">
      <c r="A19" s="195"/>
      <c r="B19" s="174" t="s">
        <v>54</v>
      </c>
      <c r="C19" s="203">
        <v>0</v>
      </c>
      <c r="D19" s="175">
        <f t="shared" ref="D19:D29" si="4">SUM(E19:M19)</f>
        <v>0</v>
      </c>
      <c r="E19" s="175">
        <v>0</v>
      </c>
      <c r="F19" s="175">
        <v>0</v>
      </c>
      <c r="G19" s="175">
        <f>[10]รวม!$R$16</f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f>[10]รวม!$R$15</f>
        <v>0</v>
      </c>
      <c r="O19" s="197"/>
    </row>
    <row r="20" spans="1:16" x14ac:dyDescent="0.6">
      <c r="A20" s="195"/>
      <c r="B20" s="174" t="s">
        <v>67</v>
      </c>
      <c r="C20" s="204">
        <v>0</v>
      </c>
      <c r="D20" s="175">
        <f t="shared" si="4"/>
        <v>0</v>
      </c>
      <c r="E20" s="176">
        <f>[10]รวม!$C$24+[10]รวม!$D$24</f>
        <v>0</v>
      </c>
      <c r="F20" s="176">
        <v>0</v>
      </c>
      <c r="G20" s="176">
        <f>[10]รวม!$F$24+[10]รวม!$G$24+[10]รวม!$H$24</f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O20" s="197"/>
    </row>
    <row r="21" spans="1:16" x14ac:dyDescent="0.6">
      <c r="A21" s="195"/>
      <c r="B21" s="174" t="s">
        <v>68</v>
      </c>
      <c r="C21" s="204">
        <v>0</v>
      </c>
      <c r="D21" s="175">
        <f t="shared" si="4"/>
        <v>0</v>
      </c>
      <c r="E21" s="176">
        <f>[10]รวม!$C$32+[10]รวม!$D$32</f>
        <v>0</v>
      </c>
      <c r="F21" s="176">
        <f>[10]รวม!$E$32</f>
        <v>0</v>
      </c>
      <c r="G21" s="176">
        <f>[10]รวม!$R$32</f>
        <v>0</v>
      </c>
      <c r="H21" s="176">
        <f>[10]รวม!$I$32</f>
        <v>0</v>
      </c>
      <c r="I21" s="176">
        <f>[10]รวม!$J$32+[10]รวม!$K$32+[10]รวม!$L$32</f>
        <v>0</v>
      </c>
      <c r="J21" s="176">
        <f>[10]รวม!$M$32</f>
        <v>0</v>
      </c>
      <c r="K21" s="176">
        <f>[10]รวม!$N$32+[10]รวม!$O$32</f>
        <v>0</v>
      </c>
      <c r="L21" s="176">
        <f>[10]รวม!$P$32</f>
        <v>0</v>
      </c>
      <c r="M21" s="176">
        <v>0</v>
      </c>
      <c r="O21" s="197"/>
    </row>
    <row r="22" spans="1:16" x14ac:dyDescent="0.6">
      <c r="A22" s="195"/>
      <c r="B22" s="174" t="s">
        <v>40</v>
      </c>
      <c r="C22" s="204">
        <v>0</v>
      </c>
      <c r="D22" s="175">
        <f t="shared" si="4"/>
        <v>0</v>
      </c>
      <c r="E22" s="176">
        <f>[10]รวม!$C$42+[10]รวม!$D$42</f>
        <v>0</v>
      </c>
      <c r="F22" s="176">
        <f>[10]รวม!$E$42</f>
        <v>0</v>
      </c>
      <c r="G22" s="176">
        <f>[10]รวม!$F$42+[10]รวม!$G$42+[10]รวม!$H$42</f>
        <v>0</v>
      </c>
      <c r="H22" s="176">
        <f>[10]รวม!$I$42</f>
        <v>0</v>
      </c>
      <c r="I22" s="176">
        <f>[10]รวม!$J$42+[10]รวม!$K$42+[10]รวม!$L$42</f>
        <v>0</v>
      </c>
      <c r="J22" s="176">
        <f>[10]รวม!$M$42</f>
        <v>0</v>
      </c>
      <c r="K22" s="176">
        <f>[10]รวม!$N$42+[10]รวม!$O$42</f>
        <v>0</v>
      </c>
      <c r="L22" s="176">
        <f>[10]รวม!$P$42</f>
        <v>0</v>
      </c>
      <c r="M22" s="176">
        <v>0</v>
      </c>
      <c r="O22" s="197"/>
    </row>
    <row r="23" spans="1:16" x14ac:dyDescent="0.6">
      <c r="A23" s="195"/>
      <c r="B23" s="174" t="s">
        <v>47</v>
      </c>
      <c r="C23" s="204">
        <v>0</v>
      </c>
      <c r="D23" s="175">
        <f t="shared" si="4"/>
        <v>92000</v>
      </c>
      <c r="E23" s="176">
        <f>[10]รวม!$C$49+[10]รวม!$D$49</f>
        <v>0</v>
      </c>
      <c r="F23" s="176">
        <f>[10]รวม!$E$49</f>
        <v>0</v>
      </c>
      <c r="G23" s="176">
        <f>[10]รวม!$F$49+[10]รวม!$G$49+[10]รวม!$H$49</f>
        <v>0</v>
      </c>
      <c r="H23" s="176">
        <f>[10]รวม!$I$129</f>
        <v>30000</v>
      </c>
      <c r="I23" s="176">
        <f>[10]รวม!$J$49+[10]รวม!$K$49+[10]รวม!$L$49</f>
        <v>0</v>
      </c>
      <c r="J23" s="176">
        <f>[10]รวม!$M$50</f>
        <v>0</v>
      </c>
      <c r="K23" s="176">
        <f>[10]รวม!$N$49+[10]รวม!$O$49</f>
        <v>42000</v>
      </c>
      <c r="L23" s="176">
        <f>[10]รวม!$P$49</f>
        <v>20000</v>
      </c>
      <c r="M23" s="176">
        <v>0</v>
      </c>
      <c r="O23" s="197"/>
    </row>
    <row r="24" spans="1:16" x14ac:dyDescent="0.6">
      <c r="A24" s="195"/>
      <c r="B24" s="174" t="s">
        <v>39</v>
      </c>
      <c r="C24" s="204">
        <v>0</v>
      </c>
      <c r="D24" s="175">
        <f t="shared" si="4"/>
        <v>0</v>
      </c>
      <c r="E24" s="176">
        <f>[10]รวม!$C$69+[10]รวม!$D$69</f>
        <v>0</v>
      </c>
      <c r="F24" s="176">
        <f>[10]รวม!$E$69</f>
        <v>0</v>
      </c>
      <c r="G24" s="176">
        <f>[10]รวม!$R$69</f>
        <v>0</v>
      </c>
      <c r="H24" s="178">
        <f>[10]รวม!$I$69</f>
        <v>0</v>
      </c>
      <c r="I24" s="176">
        <f>[10]รวม!$J$69+[10]รวม!$K$69+[10]รวม!$L$69</f>
        <v>0</v>
      </c>
      <c r="J24" s="176">
        <f>[10]รวม!$M$69</f>
        <v>0</v>
      </c>
      <c r="K24" s="176">
        <f>[10]รวม!$N$69+[10]รวม!$O$69</f>
        <v>0</v>
      </c>
      <c r="L24" s="176">
        <f>[10]รวม!$P$69</f>
        <v>0</v>
      </c>
      <c r="M24" s="176">
        <v>0</v>
      </c>
      <c r="O24" s="197"/>
    </row>
    <row r="25" spans="1:16" x14ac:dyDescent="0.6">
      <c r="A25" s="195"/>
      <c r="B25" s="174" t="s">
        <v>69</v>
      </c>
      <c r="C25" s="204">
        <v>0</v>
      </c>
      <c r="D25" s="175">
        <f t="shared" si="4"/>
        <v>0</v>
      </c>
      <c r="E25" s="176">
        <f>[10]รวม!$C$77+[10]รวม!$D$77</f>
        <v>0</v>
      </c>
      <c r="F25" s="176">
        <f>[10]รวม!$E$77</f>
        <v>0</v>
      </c>
      <c r="G25" s="176">
        <f>[10]รวม!$F$77+[10]รวม!$G$77+[10]รวม!$H$77</f>
        <v>0</v>
      </c>
      <c r="H25" s="176">
        <f>[10]รวม!$I$77</f>
        <v>0</v>
      </c>
      <c r="I25" s="176">
        <f>[10]รวม!$J$77+[10]รวม!$K$77+[10]รวม!$L$77</f>
        <v>0</v>
      </c>
      <c r="J25" s="176">
        <f>[10]รวม!$M$77</f>
        <v>0</v>
      </c>
      <c r="K25" s="176">
        <f>[10]รวม!$N$77+[10]รวม!$O$77</f>
        <v>0</v>
      </c>
      <c r="L25" s="176">
        <f>[10]รวม!$P$77</f>
        <v>0</v>
      </c>
      <c r="M25" s="176">
        <v>0</v>
      </c>
      <c r="O25" s="197"/>
    </row>
    <row r="26" spans="1:16" x14ac:dyDescent="0.6">
      <c r="A26" s="195"/>
      <c r="B26" s="174" t="s">
        <v>71</v>
      </c>
      <c r="C26" s="204">
        <v>0</v>
      </c>
      <c r="D26" s="175">
        <f t="shared" si="4"/>
        <v>0</v>
      </c>
      <c r="E26" s="176">
        <f>[10]รวม!$C$98+[10]รวม!$D$98</f>
        <v>0</v>
      </c>
      <c r="F26" s="176">
        <f>[10]รวม!$E$98</f>
        <v>0</v>
      </c>
      <c r="G26" s="176">
        <f>[10]รวม!$F$98+[10]รวม!$G$98+[10]รวม!$H$98</f>
        <v>0</v>
      </c>
      <c r="H26" s="176">
        <f>[10]รวม!$I$98</f>
        <v>0</v>
      </c>
      <c r="I26" s="176">
        <f>[10]รวม!$J$98+[10]รวม!$K$98+[10]รวม!$L$98</f>
        <v>0</v>
      </c>
      <c r="J26" s="176">
        <f>[10]รวม!$M$98</f>
        <v>0</v>
      </c>
      <c r="K26" s="176">
        <f>[10]รวม!$N$98+[10]รวม!$O$98</f>
        <v>0</v>
      </c>
      <c r="L26" s="176">
        <f>[10]รวม!$P$98</f>
        <v>0</v>
      </c>
      <c r="M26" s="176">
        <v>0</v>
      </c>
      <c r="O26" s="197"/>
    </row>
    <row r="27" spans="1:16" x14ac:dyDescent="0.6">
      <c r="A27" s="195"/>
      <c r="B27" s="174" t="s">
        <v>70</v>
      </c>
      <c r="C27" s="204">
        <v>0</v>
      </c>
      <c r="D27" s="175">
        <f t="shared" si="4"/>
        <v>2081695</v>
      </c>
      <c r="E27" s="176">
        <f>[10]รวม!$C$113+[10]รวม!$D$113</f>
        <v>0</v>
      </c>
      <c r="F27" s="176">
        <f>[10]รวม!$E$113</f>
        <v>0</v>
      </c>
      <c r="G27" s="176">
        <f>[10]รวม!$F$113+[10]รวม!$G$113+[10]รวม!$H$113</f>
        <v>0</v>
      </c>
      <c r="H27" s="176">
        <f>[10]รวม!$I$113</f>
        <v>0</v>
      </c>
      <c r="I27" s="176">
        <f>[10]รวม!$R$113</f>
        <v>2081695</v>
      </c>
      <c r="J27" s="176">
        <f>[10]รวม!$M$113</f>
        <v>0</v>
      </c>
      <c r="K27" s="176">
        <f>[10]รวม!$N$113+[10]รวม!$O$113</f>
        <v>0</v>
      </c>
      <c r="L27" s="176">
        <f>[10]รวม!$P$113</f>
        <v>0</v>
      </c>
      <c r="M27" s="176">
        <v>0</v>
      </c>
      <c r="O27" s="197"/>
    </row>
    <row r="28" spans="1:16" x14ac:dyDescent="0.6">
      <c r="A28" s="195"/>
      <c r="B28" s="174" t="s">
        <v>79</v>
      </c>
      <c r="C28" s="204">
        <v>0</v>
      </c>
      <c r="D28" s="175">
        <f t="shared" si="4"/>
        <v>0</v>
      </c>
      <c r="E28" s="176">
        <f>[10]รวม!$C$118+[10]รวม!$D$118</f>
        <v>0</v>
      </c>
      <c r="F28" s="176">
        <f>[10]รวม!$E$118</f>
        <v>0</v>
      </c>
      <c r="G28" s="176">
        <f>[10]รวม!$F$118+[10]รวม!$G$118+[10]รวม!$H$118</f>
        <v>0</v>
      </c>
      <c r="H28" s="176">
        <f>[10]รวม!$I$118</f>
        <v>0</v>
      </c>
      <c r="I28" s="176">
        <f>[10]รวม!$J$118+[10]รวม!$K$118+[10]รวม!$L$118</f>
        <v>0</v>
      </c>
      <c r="J28" s="176">
        <f>[10]รวม!$M$118</f>
        <v>0</v>
      </c>
      <c r="K28" s="176">
        <f>[10]รวม!$N$118+[10]รวม!$O$118</f>
        <v>0</v>
      </c>
      <c r="L28" s="176">
        <f>[10]รวม!$P$118</f>
        <v>0</v>
      </c>
      <c r="M28" s="176">
        <v>0</v>
      </c>
      <c r="O28" s="197"/>
    </row>
    <row r="29" spans="1:16" x14ac:dyDescent="0.6">
      <c r="A29" s="195"/>
      <c r="B29" s="174" t="s">
        <v>80</v>
      </c>
      <c r="C29" s="205">
        <v>0</v>
      </c>
      <c r="D29" s="175">
        <f t="shared" si="4"/>
        <v>0</v>
      </c>
      <c r="E29" s="184">
        <f>[10]รวม!$C$126+[10]รวม!$D$126</f>
        <v>0</v>
      </c>
      <c r="F29" s="184">
        <f>[10]รวม!$E$126</f>
        <v>0</v>
      </c>
      <c r="G29" s="184">
        <f>[10]รวม!$F$126+[10]รวม!$G$126+[10]รวม!$H$126</f>
        <v>0</v>
      </c>
      <c r="H29" s="184">
        <f>[10]รวม!$I$126</f>
        <v>0</v>
      </c>
      <c r="I29" s="184">
        <f>[10]รวม!$J$126+[10]รวม!$K$126+[10]รวม!$L$126</f>
        <v>0</v>
      </c>
      <c r="J29" s="184">
        <f>[10]รวม!$M$126</f>
        <v>0</v>
      </c>
      <c r="K29" s="184">
        <f>[10]รวม!$N$126+[10]รวม!$O$126</f>
        <v>0</v>
      </c>
      <c r="L29" s="184">
        <f>[10]รวม!$P$126</f>
        <v>0</v>
      </c>
      <c r="M29" s="184">
        <v>0</v>
      </c>
      <c r="O29" s="197"/>
    </row>
    <row r="30" spans="1:16" ht="25.5" thickBot="1" x14ac:dyDescent="0.65">
      <c r="A30" s="206"/>
      <c r="B30" s="199" t="s">
        <v>5</v>
      </c>
      <c r="C30" s="187">
        <f>SUM(C19:C29)</f>
        <v>0</v>
      </c>
      <c r="D30" s="187">
        <f>SUM(D19:D29)</f>
        <v>2173695</v>
      </c>
      <c r="E30" s="187">
        <f t="shared" ref="E30:M30" si="5">SUM(E19:E29)</f>
        <v>0</v>
      </c>
      <c r="F30" s="187">
        <f t="shared" si="5"/>
        <v>0</v>
      </c>
      <c r="G30" s="187">
        <f t="shared" si="5"/>
        <v>0</v>
      </c>
      <c r="H30" s="187">
        <f t="shared" si="5"/>
        <v>30000</v>
      </c>
      <c r="I30" s="187">
        <f t="shared" si="5"/>
        <v>2081695</v>
      </c>
      <c r="J30" s="187">
        <f t="shared" si="5"/>
        <v>0</v>
      </c>
      <c r="K30" s="187">
        <f t="shared" si="5"/>
        <v>42000</v>
      </c>
      <c r="L30" s="187">
        <f t="shared" si="5"/>
        <v>20000</v>
      </c>
      <c r="M30" s="187">
        <f t="shared" si="5"/>
        <v>0</v>
      </c>
      <c r="O30" s="197"/>
    </row>
    <row r="31" spans="1:16" ht="26.25" thickTop="1" thickBot="1" x14ac:dyDescent="0.65">
      <c r="A31" s="207"/>
      <c r="B31" s="208" t="s">
        <v>169</v>
      </c>
      <c r="C31" s="209">
        <v>0</v>
      </c>
      <c r="D31" s="209">
        <f>D17+D30</f>
        <v>25049316.199999999</v>
      </c>
      <c r="E31" s="210"/>
      <c r="F31" s="190"/>
      <c r="G31" s="190"/>
      <c r="H31" s="190"/>
      <c r="I31" s="190"/>
      <c r="J31" s="190"/>
      <c r="K31" s="190"/>
      <c r="L31" s="190"/>
      <c r="M31" s="190"/>
      <c r="O31" s="197"/>
    </row>
    <row r="32" spans="1:16" ht="25.5" thickTop="1" x14ac:dyDescent="0.6">
      <c r="A32" s="211" t="s">
        <v>72</v>
      </c>
      <c r="B32" s="174"/>
      <c r="C32" s="202"/>
      <c r="D32" s="202"/>
      <c r="E32" s="212"/>
      <c r="F32" s="198"/>
      <c r="G32" s="198"/>
      <c r="H32" s="198"/>
      <c r="I32" s="198"/>
      <c r="J32" s="198"/>
      <c r="K32" s="198"/>
      <c r="L32" s="198"/>
      <c r="M32" s="198"/>
    </row>
    <row r="33" spans="1:26" x14ac:dyDescent="0.6">
      <c r="A33" s="195"/>
      <c r="B33" s="174" t="s">
        <v>73</v>
      </c>
      <c r="C33" s="175">
        <f>[11]รวม!$C$16</f>
        <v>151000</v>
      </c>
      <c r="D33" s="175">
        <f>[11]รวม!$D$16</f>
        <v>345252.25</v>
      </c>
      <c r="E33" s="212"/>
      <c r="F33" s="198"/>
      <c r="G33" s="198"/>
      <c r="H33" s="198"/>
      <c r="I33" s="198"/>
      <c r="J33" s="198"/>
      <c r="K33" s="198"/>
      <c r="L33" s="198"/>
      <c r="M33" s="198"/>
    </row>
    <row r="34" spans="1:26" x14ac:dyDescent="0.6">
      <c r="A34" s="195"/>
      <c r="B34" s="174" t="s">
        <v>159</v>
      </c>
      <c r="C34" s="176">
        <f>[11]รวม!$C$68</f>
        <v>258500</v>
      </c>
      <c r="D34" s="176">
        <f>[11]รวม!$D$68</f>
        <v>522331.4</v>
      </c>
      <c r="E34" s="212"/>
      <c r="F34" s="198"/>
      <c r="G34" s="198"/>
      <c r="H34" s="198"/>
      <c r="I34" s="198"/>
      <c r="J34" s="198"/>
      <c r="K34" s="198"/>
      <c r="L34" s="198"/>
      <c r="M34" s="198"/>
    </row>
    <row r="35" spans="1:26" x14ac:dyDescent="0.6">
      <c r="A35" s="195"/>
      <c r="B35" s="174" t="s">
        <v>81</v>
      </c>
      <c r="C35" s="176">
        <f>[11]รวม!$C$76</f>
        <v>100000</v>
      </c>
      <c r="D35" s="176">
        <f>[11]รวม!$D$76</f>
        <v>114077.03</v>
      </c>
      <c r="E35" s="212"/>
      <c r="F35" s="198"/>
      <c r="G35" s="198"/>
      <c r="H35" s="198"/>
      <c r="I35" s="198"/>
      <c r="J35" s="198"/>
      <c r="K35" s="198"/>
      <c r="L35" s="198"/>
      <c r="M35" s="198"/>
      <c r="O35" s="179">
        <f>C17-C43</f>
        <v>0</v>
      </c>
      <c r="P35" s="179">
        <f>D17+167055+42000+81412+81760</f>
        <v>23247848.199999999</v>
      </c>
    </row>
    <row r="36" spans="1:26" x14ac:dyDescent="0.6">
      <c r="A36" s="195"/>
      <c r="B36" s="174" t="s">
        <v>82</v>
      </c>
      <c r="C36" s="176">
        <f>[11]รวม!$C$85</f>
        <v>0</v>
      </c>
      <c r="D36" s="176">
        <f>[11]รวม!$D$85</f>
        <v>0</v>
      </c>
      <c r="E36" s="212"/>
      <c r="F36" s="315"/>
      <c r="G36" s="198"/>
      <c r="H36" s="198"/>
      <c r="I36" s="198"/>
      <c r="J36" s="198"/>
      <c r="K36" s="198"/>
      <c r="L36" s="198"/>
      <c r="M36" s="198"/>
    </row>
    <row r="37" spans="1:26" x14ac:dyDescent="0.6">
      <c r="A37" s="195"/>
      <c r="B37" s="174" t="s">
        <v>74</v>
      </c>
      <c r="C37" s="176">
        <f>[11]รวม!$C$96</f>
        <v>5500</v>
      </c>
      <c r="D37" s="176">
        <f>[11]รวม!$D$96</f>
        <v>48351.519999999997</v>
      </c>
      <c r="E37" s="212"/>
      <c r="F37" s="198"/>
      <c r="G37" s="198"/>
      <c r="H37" s="198"/>
      <c r="I37" s="198"/>
      <c r="J37" s="198"/>
      <c r="K37" s="198"/>
      <c r="L37" s="198"/>
      <c r="M37" s="198"/>
      <c r="O37" s="165" t="s">
        <v>165</v>
      </c>
      <c r="P37" s="179">
        <f>D33+D34+D35+D36+D37+D38+D39+D40</f>
        <v>25240330.57</v>
      </c>
    </row>
    <row r="38" spans="1:26" x14ac:dyDescent="0.6">
      <c r="A38" s="195"/>
      <c r="B38" s="174" t="s">
        <v>75</v>
      </c>
      <c r="C38" s="176">
        <f>[11]รวม!$C$100</f>
        <v>0</v>
      </c>
      <c r="D38" s="176">
        <f>[11]รวม!$D$100</f>
        <v>0</v>
      </c>
      <c r="E38" s="212"/>
      <c r="F38" s="198"/>
      <c r="G38" s="198"/>
      <c r="H38" s="198"/>
      <c r="I38" s="198"/>
      <c r="J38" s="198"/>
      <c r="K38" s="198"/>
      <c r="L38" s="198"/>
      <c r="M38" s="198"/>
      <c r="O38" s="165" t="s">
        <v>164</v>
      </c>
      <c r="P38" s="179">
        <f>D17</f>
        <v>22875621.199999999</v>
      </c>
    </row>
    <row r="39" spans="1:26" x14ac:dyDescent="0.6">
      <c r="A39" s="195"/>
      <c r="B39" s="174" t="s">
        <v>76</v>
      </c>
      <c r="C39" s="176">
        <f>[11]รวม!$C$122</f>
        <v>13485000</v>
      </c>
      <c r="D39" s="176">
        <f>[11]รวม!$D$122</f>
        <v>14527813.369999999</v>
      </c>
      <c r="E39" s="210"/>
      <c r="F39" s="198"/>
      <c r="G39" s="198"/>
      <c r="H39" s="198"/>
      <c r="I39" s="198"/>
      <c r="J39" s="198"/>
      <c r="K39" s="198"/>
      <c r="L39" s="198"/>
      <c r="M39" s="198"/>
    </row>
    <row r="40" spans="1:26" x14ac:dyDescent="0.6">
      <c r="A40" s="195"/>
      <c r="B40" s="174" t="s">
        <v>77</v>
      </c>
      <c r="C40" s="176">
        <f>[11]รวม!$C$128</f>
        <v>11067500</v>
      </c>
      <c r="D40" s="176">
        <f>[11]รวม!$D$128</f>
        <v>9682505</v>
      </c>
      <c r="E40" s="212"/>
      <c r="F40" s="198"/>
      <c r="G40" s="198"/>
      <c r="H40" s="198"/>
      <c r="I40" s="198"/>
      <c r="J40" s="198"/>
      <c r="K40" s="198"/>
      <c r="L40" s="198"/>
      <c r="M40" s="198"/>
    </row>
    <row r="41" spans="1:26" x14ac:dyDescent="0.6">
      <c r="A41" s="195"/>
      <c r="B41" s="174" t="s">
        <v>179</v>
      </c>
      <c r="C41" s="181">
        <v>0</v>
      </c>
      <c r="D41" s="181">
        <v>0</v>
      </c>
      <c r="E41" s="212"/>
      <c r="F41" s="198"/>
      <c r="G41" s="198"/>
      <c r="H41" s="198"/>
      <c r="I41" s="198"/>
      <c r="J41" s="198"/>
      <c r="K41" s="198"/>
      <c r="L41" s="198"/>
      <c r="M41" s="198"/>
    </row>
    <row r="42" spans="1:26" x14ac:dyDescent="0.6">
      <c r="A42" s="195"/>
      <c r="B42" s="174" t="s">
        <v>78</v>
      </c>
      <c r="C42" s="184">
        <f>'[12]รวมปี+ตั้งรอคืนจังหวัด'!$C$133</f>
        <v>0</v>
      </c>
      <c r="D42" s="184">
        <f>[11]รวม!$D$133</f>
        <v>2173695</v>
      </c>
      <c r="E42" s="212"/>
      <c r="F42" s="198"/>
      <c r="G42" s="198"/>
      <c r="H42" s="198"/>
      <c r="I42" s="198"/>
      <c r="J42" s="198"/>
      <c r="K42" s="198"/>
      <c r="L42" s="198"/>
      <c r="M42" s="198"/>
    </row>
    <row r="43" spans="1:26" ht="25.5" thickBot="1" x14ac:dyDescent="0.65">
      <c r="A43" s="185"/>
      <c r="B43" s="186" t="s">
        <v>83</v>
      </c>
      <c r="C43" s="213">
        <f>SUM(C33:C42)</f>
        <v>25067500</v>
      </c>
      <c r="D43" s="213">
        <f>SUM(D33:D42)</f>
        <v>27414025.57</v>
      </c>
      <c r="E43" s="212"/>
      <c r="F43" s="198"/>
      <c r="G43" s="198"/>
      <c r="H43" s="198"/>
      <c r="I43" s="198"/>
      <c r="J43" s="198"/>
      <c r="K43" s="198"/>
      <c r="L43" s="198"/>
      <c r="M43" s="198"/>
    </row>
    <row r="44" spans="1:26" ht="26.25" thickTop="1" thickBot="1" x14ac:dyDescent="0.65">
      <c r="B44" s="214" t="s">
        <v>84</v>
      </c>
      <c r="C44" s="190"/>
      <c r="D44" s="215">
        <f>D43-D31</f>
        <v>2364709.370000001</v>
      </c>
      <c r="E44" s="216"/>
    </row>
    <row r="45" spans="1:26" ht="25.5" thickTop="1" x14ac:dyDescent="0.6"/>
    <row r="47" spans="1:26" ht="27.75" x14ac:dyDescent="0.5">
      <c r="A47" s="363" t="s">
        <v>0</v>
      </c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</row>
    <row r="48" spans="1:26" ht="27.75" x14ac:dyDescent="0.5">
      <c r="A48" s="363" t="s">
        <v>85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</row>
    <row r="49" spans="1:26" ht="27.75" x14ac:dyDescent="0.5">
      <c r="A49" s="363" t="s">
        <v>399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</row>
    <row r="50" spans="1:26" ht="74.25" x14ac:dyDescent="0.5">
      <c r="A50" s="362" t="s">
        <v>60</v>
      </c>
      <c r="B50" s="362"/>
      <c r="C50" s="168" t="s">
        <v>56</v>
      </c>
      <c r="D50" s="168" t="s">
        <v>5</v>
      </c>
      <c r="E50" s="168" t="s">
        <v>57</v>
      </c>
      <c r="F50" s="168" t="s">
        <v>61</v>
      </c>
      <c r="G50" s="168" t="s">
        <v>58</v>
      </c>
      <c r="H50" s="168" t="s">
        <v>62</v>
      </c>
      <c r="I50" s="168" t="s">
        <v>59</v>
      </c>
      <c r="J50" s="168" t="s">
        <v>63</v>
      </c>
      <c r="K50" s="168" t="s">
        <v>64</v>
      </c>
      <c r="L50" s="168" t="s">
        <v>65</v>
      </c>
      <c r="M50" s="168" t="s">
        <v>54</v>
      </c>
      <c r="N50" s="218"/>
      <c r="O50" s="18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</row>
    <row r="51" spans="1:26" x14ac:dyDescent="0.6">
      <c r="A51" s="194" t="s">
        <v>66</v>
      </c>
      <c r="B51" s="170"/>
      <c r="C51" s="171"/>
      <c r="D51" s="171"/>
      <c r="E51" s="171"/>
      <c r="F51" s="172"/>
      <c r="G51" s="172"/>
      <c r="H51" s="172"/>
      <c r="I51" s="172"/>
      <c r="J51" s="172"/>
      <c r="K51" s="172"/>
      <c r="L51" s="172"/>
      <c r="M51" s="172"/>
      <c r="N51" s="211"/>
      <c r="O51" s="188"/>
      <c r="P51" s="191"/>
      <c r="Q51" s="191"/>
      <c r="R51" s="191"/>
      <c r="S51" s="198"/>
      <c r="T51" s="198"/>
      <c r="U51" s="198"/>
      <c r="V51" s="198"/>
      <c r="W51" s="198"/>
      <c r="X51" s="198"/>
      <c r="Y51" s="198"/>
      <c r="Z51" s="198"/>
    </row>
    <row r="52" spans="1:26" x14ac:dyDescent="0.6">
      <c r="A52" s="195"/>
      <c r="B52" s="174" t="s">
        <v>54</v>
      </c>
      <c r="C52" s="175">
        <f t="shared" ref="C52:C62" si="6">C6</f>
        <v>7377650</v>
      </c>
      <c r="D52" s="175">
        <f>SUM(E52:M52)</f>
        <v>7055528.21</v>
      </c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0</v>
      </c>
      <c r="K52" s="175">
        <v>0</v>
      </c>
      <c r="L52" s="175">
        <v>0</v>
      </c>
      <c r="M52" s="175">
        <f>M6+จ่ายจากเงินสะสม!L16</f>
        <v>7055528.21</v>
      </c>
      <c r="N52" s="195"/>
      <c r="O52" s="188"/>
      <c r="P52" s="191"/>
      <c r="Q52" s="191"/>
      <c r="R52" s="191"/>
      <c r="S52" s="198"/>
      <c r="T52" s="198"/>
      <c r="U52" s="198"/>
      <c r="V52" s="198"/>
      <c r="W52" s="198"/>
      <c r="X52" s="198"/>
      <c r="Y52" s="198"/>
      <c r="Z52" s="198"/>
    </row>
    <row r="53" spans="1:26" x14ac:dyDescent="0.6">
      <c r="A53" s="195"/>
      <c r="B53" s="174" t="s">
        <v>67</v>
      </c>
      <c r="C53" s="175">
        <f t="shared" si="6"/>
        <v>2624640</v>
      </c>
      <c r="D53" s="176">
        <f t="shared" ref="D53:D54" si="7">SUM(E53:M53)</f>
        <v>2508720</v>
      </c>
      <c r="E53" s="175">
        <f>E7+จ่ายจากเงินสะสม!D6</f>
        <v>2508720</v>
      </c>
      <c r="F53" s="175">
        <f>F7+จ่ายจากเงินสะสม!D6</f>
        <v>0</v>
      </c>
      <c r="G53" s="175">
        <f>G7+จ่ายจากเงินสะสม!E6</f>
        <v>0</v>
      </c>
      <c r="H53" s="175">
        <f>H7+จ่ายจากเงินสะสม!F6</f>
        <v>0</v>
      </c>
      <c r="I53" s="175">
        <f>I7+จ่ายจากเงินสะสม!G6</f>
        <v>0</v>
      </c>
      <c r="J53" s="175">
        <f>J7+จ่ายจากเงินสะสม!H6</f>
        <v>0</v>
      </c>
      <c r="K53" s="175">
        <f>K7+จ่ายจากเงินสะสม!I6</f>
        <v>0</v>
      </c>
      <c r="L53" s="175">
        <f>L7+จ่ายจากเงินสะสม!K6</f>
        <v>0</v>
      </c>
      <c r="M53" s="175">
        <v>0</v>
      </c>
      <c r="N53" s="195"/>
      <c r="O53" s="188"/>
      <c r="P53" s="191"/>
      <c r="Q53" s="191"/>
      <c r="R53" s="191"/>
      <c r="S53" s="198"/>
      <c r="T53" s="198"/>
      <c r="U53" s="198"/>
      <c r="V53" s="198"/>
      <c r="W53" s="198"/>
      <c r="X53" s="198"/>
      <c r="Y53" s="198"/>
      <c r="Z53" s="198"/>
    </row>
    <row r="54" spans="1:26" x14ac:dyDescent="0.6">
      <c r="A54" s="195"/>
      <c r="B54" s="174" t="s">
        <v>68</v>
      </c>
      <c r="C54" s="175">
        <f t="shared" si="6"/>
        <v>6186130</v>
      </c>
      <c r="D54" s="176">
        <f t="shared" si="7"/>
        <v>5820354.5</v>
      </c>
      <c r="E54" s="175">
        <f>E8+จ่ายจากเงินสะสม!C7</f>
        <v>3744120</v>
      </c>
      <c r="F54" s="175">
        <f>F8+จ่ายจากเงินสะสม!D7</f>
        <v>0</v>
      </c>
      <c r="G54" s="175">
        <f>G8+จ่ายจากเงินสะสม!E7</f>
        <v>799194.5</v>
      </c>
      <c r="H54" s="175">
        <f>H8+จ่ายจากเงินสะสม!F7</f>
        <v>0</v>
      </c>
      <c r="I54" s="175">
        <f>I8+จ่ายจากเงินสะสม!G7</f>
        <v>991680</v>
      </c>
      <c r="J54" s="175">
        <f>J8+จ่ายจากเงินสะสม!H7</f>
        <v>285360</v>
      </c>
      <c r="K54" s="175">
        <f>K8+จ่ายจากเงินสะสม!I7</f>
        <v>0</v>
      </c>
      <c r="L54" s="175">
        <f>L8+จ่ายจากเงินสะสม!K7</f>
        <v>0</v>
      </c>
      <c r="M54" s="175">
        <v>0</v>
      </c>
      <c r="N54" s="195"/>
      <c r="O54" s="188"/>
      <c r="P54" s="191"/>
      <c r="Q54" s="191"/>
      <c r="R54" s="191"/>
      <c r="S54" s="198"/>
      <c r="T54" s="198"/>
      <c r="U54" s="198"/>
      <c r="V54" s="198"/>
      <c r="W54" s="198"/>
      <c r="X54" s="198"/>
      <c r="Y54" s="198"/>
      <c r="Z54" s="198"/>
    </row>
    <row r="55" spans="1:26" x14ac:dyDescent="0.6">
      <c r="A55" s="195"/>
      <c r="B55" s="174" t="s">
        <v>40</v>
      </c>
      <c r="C55" s="175">
        <f t="shared" si="6"/>
        <v>179700</v>
      </c>
      <c r="D55" s="176">
        <f>SUM(E55:M55)</f>
        <v>124912</v>
      </c>
      <c r="E55" s="175">
        <f>E9+จ่ายจากเงินสะสม!C8</f>
        <v>28912</v>
      </c>
      <c r="F55" s="175">
        <f>F9+จ่ายจากเงินสะสม!D8</f>
        <v>0</v>
      </c>
      <c r="G55" s="175">
        <f>G9+จ่ายจากเงินสะสม!E8</f>
        <v>2400</v>
      </c>
      <c r="H55" s="175">
        <f>H9+จ่ายจากเงินสะสม!F8</f>
        <v>0</v>
      </c>
      <c r="I55" s="175">
        <f>I9+จ่ายจากเงินสะสม!G8</f>
        <v>93600</v>
      </c>
      <c r="J55" s="175">
        <f>J9+จ่ายจากเงินสะสม!H8</f>
        <v>0</v>
      </c>
      <c r="K55" s="175">
        <f>K9+จ่ายจากเงินสะสม!I8</f>
        <v>0</v>
      </c>
      <c r="L55" s="175">
        <f>L9+จ่ายจากเงินสะสม!J8</f>
        <v>0</v>
      </c>
      <c r="M55" s="175">
        <v>0</v>
      </c>
      <c r="N55" s="195"/>
      <c r="O55" s="188"/>
      <c r="P55" s="191"/>
      <c r="Q55" s="191"/>
      <c r="R55" s="191"/>
      <c r="S55" s="198"/>
      <c r="T55" s="198"/>
      <c r="U55" s="198"/>
      <c r="V55" s="198"/>
      <c r="W55" s="198"/>
      <c r="X55" s="198"/>
      <c r="Y55" s="198"/>
      <c r="Z55" s="198"/>
    </row>
    <row r="56" spans="1:26" x14ac:dyDescent="0.6">
      <c r="A56" s="195"/>
      <c r="B56" s="174" t="s">
        <v>47</v>
      </c>
      <c r="C56" s="175">
        <f t="shared" si="6"/>
        <v>4209550</v>
      </c>
      <c r="D56" s="176">
        <f t="shared" ref="D56:D62" si="8">SUM(E56:M56)</f>
        <v>3595453.6799999997</v>
      </c>
      <c r="E56" s="175">
        <f>E10+จ่ายจากเงินสะสม!C9</f>
        <v>1163609.68</v>
      </c>
      <c r="F56" s="175">
        <f>F10+จ่ายจากเงินสะสม!D9</f>
        <v>27738</v>
      </c>
      <c r="G56" s="175">
        <f>G10+จ่ายจากเงินสะสม!E9</f>
        <v>864960</v>
      </c>
      <c r="H56" s="175">
        <f>H10+จ่ายจากเงินสะสม!F9</f>
        <v>550066</v>
      </c>
      <c r="I56" s="175">
        <f>I10+จ่ายจากเงินสะสม!G9</f>
        <v>900760</v>
      </c>
      <c r="J56" s="175">
        <f>J10+จ่ายจากเงินสะสม!H9</f>
        <v>33000</v>
      </c>
      <c r="K56" s="175">
        <f>K10+จ่ายจากเงินสะสม!I9</f>
        <v>55320</v>
      </c>
      <c r="L56" s="175">
        <f>L10+จ่ายจากเงินสะสม!J9</f>
        <v>0</v>
      </c>
      <c r="M56" s="175">
        <v>0</v>
      </c>
      <c r="N56" s="195"/>
      <c r="O56" s="188"/>
      <c r="P56" s="191"/>
      <c r="Q56" s="191"/>
      <c r="R56" s="191"/>
      <c r="S56" s="198"/>
      <c r="T56" s="198"/>
      <c r="U56" s="198"/>
      <c r="V56" s="198"/>
      <c r="W56" s="198"/>
      <c r="X56" s="198"/>
      <c r="Y56" s="198"/>
      <c r="Z56" s="198"/>
    </row>
    <row r="57" spans="1:26" x14ac:dyDescent="0.6">
      <c r="A57" s="195"/>
      <c r="B57" s="174" t="s">
        <v>39</v>
      </c>
      <c r="C57" s="175">
        <f t="shared" si="6"/>
        <v>1584080</v>
      </c>
      <c r="D57" s="176">
        <f t="shared" si="8"/>
        <v>1120627.33</v>
      </c>
      <c r="E57" s="175">
        <f>E11+จ่ายจากเงินสะสม!C10</f>
        <v>264745.90000000002</v>
      </c>
      <c r="F57" s="175">
        <f>F11+จ่ายจากเงินสะสม!D10</f>
        <v>31000</v>
      </c>
      <c r="G57" s="175">
        <f>G11+จ่ายจากเงินสะสม!E10</f>
        <v>308514.43000000005</v>
      </c>
      <c r="H57" s="175">
        <f>H11+จ่ายจากเงินสะสม!F10</f>
        <v>14829</v>
      </c>
      <c r="I57" s="175">
        <f>I11+จ่ายจากเงินสะสม!G10</f>
        <v>501538</v>
      </c>
      <c r="J57" s="175">
        <f>J11+จ่ายจากเงินสะสม!H10</f>
        <v>0</v>
      </c>
      <c r="K57" s="175">
        <f>K11+จ่ายจากเงินสะสม!I10</f>
        <v>0</v>
      </c>
      <c r="L57" s="175">
        <f>L11+จ่ายจากเงินสะสม!K10</f>
        <v>0</v>
      </c>
      <c r="M57" s="175">
        <v>0</v>
      </c>
      <c r="N57" s="195"/>
      <c r="O57" s="188"/>
      <c r="P57" s="191"/>
      <c r="Q57" s="191"/>
      <c r="R57" s="191"/>
      <c r="S57" s="198"/>
      <c r="T57" s="198"/>
      <c r="U57" s="198"/>
      <c r="V57" s="198"/>
      <c r="W57" s="198"/>
      <c r="X57" s="198"/>
      <c r="Y57" s="198"/>
      <c r="Z57" s="198"/>
    </row>
    <row r="58" spans="1:26" x14ac:dyDescent="0.6">
      <c r="A58" s="195"/>
      <c r="B58" s="174" t="s">
        <v>69</v>
      </c>
      <c r="C58" s="175">
        <f t="shared" si="6"/>
        <v>430720</v>
      </c>
      <c r="D58" s="176">
        <f t="shared" si="8"/>
        <v>395444.84</v>
      </c>
      <c r="E58" s="175">
        <f>E12+จ่ายจากเงินสะสม!C11</f>
        <v>324488.67000000004</v>
      </c>
      <c r="F58" s="175">
        <f>F12+จ่ายจากเงินสะสม!D11</f>
        <v>0</v>
      </c>
      <c r="G58" s="175">
        <f>G12+จ่ายจากเงินสะสม!E11</f>
        <v>55548.17</v>
      </c>
      <c r="H58" s="175">
        <f>H12+จ่ายจากเงินสะสม!F11</f>
        <v>0</v>
      </c>
      <c r="I58" s="175">
        <f>I12+จ่ายจากเงินสะสม!G11</f>
        <v>15408</v>
      </c>
      <c r="J58" s="175">
        <f>J12+จ่ายจากเงินสะสม!H11</f>
        <v>0</v>
      </c>
      <c r="K58" s="175">
        <f>K12+จ่ายจากเงินสะสม!I11</f>
        <v>0</v>
      </c>
      <c r="L58" s="175">
        <f>L12+จ่ายจากเงินสะสม!J11</f>
        <v>0</v>
      </c>
      <c r="M58" s="175">
        <v>0</v>
      </c>
      <c r="N58" s="195"/>
      <c r="O58" s="188"/>
      <c r="P58" s="191"/>
      <c r="Q58" s="191"/>
      <c r="R58" s="191"/>
      <c r="S58" s="198"/>
      <c r="T58" s="198"/>
      <c r="U58" s="198"/>
      <c r="V58" s="198"/>
      <c r="W58" s="198"/>
      <c r="X58" s="198"/>
      <c r="Y58" s="198"/>
      <c r="Z58" s="198"/>
    </row>
    <row r="59" spans="1:26" x14ac:dyDescent="0.6">
      <c r="A59" s="195"/>
      <c r="B59" s="174" t="s">
        <v>86</v>
      </c>
      <c r="C59" s="175">
        <f t="shared" si="6"/>
        <v>425700</v>
      </c>
      <c r="D59" s="176">
        <f t="shared" si="8"/>
        <v>330170</v>
      </c>
      <c r="E59" s="175">
        <f>E13+จ่ายจากเงินสะสม!C12</f>
        <v>140600</v>
      </c>
      <c r="F59" s="175">
        <f>F13+จ่ายจากเงินสะสม!D12</f>
        <v>0</v>
      </c>
      <c r="G59" s="175">
        <f>G13+จ่ายจากเงินสะสม!E12</f>
        <v>45370</v>
      </c>
      <c r="H59" s="175">
        <f>H13+จ่ายจากเงินสะสม!F12</f>
        <v>0</v>
      </c>
      <c r="I59" s="175">
        <f>I13+จ่ายจากเงินสะสม!G12</f>
        <v>144200</v>
      </c>
      <c r="J59" s="175">
        <f>J13+จ่ายจากเงินสะสม!H12</f>
        <v>0</v>
      </c>
      <c r="K59" s="175">
        <f>K13+จ่ายจากเงินสะสม!I12</f>
        <v>0</v>
      </c>
      <c r="L59" s="175">
        <f>L13+จ่ายจากเงินสะสม!J12</f>
        <v>0</v>
      </c>
      <c r="M59" s="175">
        <v>0</v>
      </c>
      <c r="N59" s="195"/>
      <c r="O59" s="188"/>
      <c r="P59" s="191"/>
      <c r="Q59" s="191"/>
      <c r="R59" s="191"/>
      <c r="S59" s="198"/>
      <c r="T59" s="198"/>
      <c r="U59" s="198"/>
      <c r="V59" s="198"/>
      <c r="W59" s="198"/>
      <c r="X59" s="198"/>
      <c r="Y59" s="198"/>
      <c r="Z59" s="198"/>
    </row>
    <row r="60" spans="1:26" x14ac:dyDescent="0.6">
      <c r="A60" s="195"/>
      <c r="B60" s="174" t="s">
        <v>87</v>
      </c>
      <c r="C60" s="175">
        <f t="shared" si="6"/>
        <v>1679330</v>
      </c>
      <c r="D60" s="176">
        <f t="shared" si="8"/>
        <v>1566000</v>
      </c>
      <c r="E60" s="175">
        <f>E14+จ่ายจากเงินสะสม!C13</f>
        <v>0</v>
      </c>
      <c r="F60" s="175">
        <f>F14+จ่ายจากเงินสะสม!D13</f>
        <v>0</v>
      </c>
      <c r="G60" s="175">
        <f>G14+จ่ายจากเงินสะสม!E13</f>
        <v>0</v>
      </c>
      <c r="H60" s="175">
        <f>H14+จ่ายจากเงินสะสม!F13</f>
        <v>0</v>
      </c>
      <c r="I60" s="175">
        <f>I14+จ่ายจากเงินสะสม!G13</f>
        <v>1566000</v>
      </c>
      <c r="J60" s="175">
        <f>J14+จ่ายจากเงินสะสม!H13</f>
        <v>0</v>
      </c>
      <c r="K60" s="175">
        <f>K14+จ่ายจากเงินสะสม!I13</f>
        <v>0</v>
      </c>
      <c r="L60" s="175">
        <f>L14+จ่ายจากเงินสะสม!J13</f>
        <v>0</v>
      </c>
      <c r="M60" s="175">
        <v>0</v>
      </c>
      <c r="N60" s="195"/>
      <c r="O60" s="188"/>
      <c r="P60" s="191"/>
      <c r="Q60" s="191"/>
      <c r="R60" s="191"/>
      <c r="S60" s="198"/>
      <c r="T60" s="198"/>
      <c r="U60" s="198"/>
      <c r="V60" s="198"/>
      <c r="W60" s="198"/>
      <c r="X60" s="198"/>
      <c r="Y60" s="198"/>
      <c r="Z60" s="198"/>
    </row>
    <row r="61" spans="1:26" x14ac:dyDescent="0.6">
      <c r="A61" s="195"/>
      <c r="B61" s="174" t="s">
        <v>79</v>
      </c>
      <c r="C61" s="175">
        <f t="shared" si="6"/>
        <v>5000</v>
      </c>
      <c r="D61" s="176">
        <f t="shared" si="8"/>
        <v>0</v>
      </c>
      <c r="E61" s="175">
        <f>E15+จ่ายจากเงินสะสม!C14</f>
        <v>0</v>
      </c>
      <c r="F61" s="175">
        <f>F15+จ่ายจากเงินสะสม!D14</f>
        <v>0</v>
      </c>
      <c r="G61" s="175">
        <f>G15+จ่ายจากเงินสะสม!E14</f>
        <v>0</v>
      </c>
      <c r="H61" s="175">
        <f>H15+จ่ายจากเงินสะสม!F14</f>
        <v>0</v>
      </c>
      <c r="I61" s="175">
        <f>I15+จ่ายจากเงินสะสม!G14</f>
        <v>0</v>
      </c>
      <c r="J61" s="175">
        <f>J15+จ่ายจากเงินสะสม!H14</f>
        <v>0</v>
      </c>
      <c r="K61" s="175">
        <f>K15+จ่ายจากเงินสะสม!I14</f>
        <v>0</v>
      </c>
      <c r="L61" s="175">
        <f>L15+จ่ายจากเงินสะสม!J14</f>
        <v>0</v>
      </c>
      <c r="M61" s="175">
        <v>0</v>
      </c>
      <c r="N61" s="195"/>
      <c r="O61" s="188"/>
      <c r="P61" s="191"/>
      <c r="Q61" s="191"/>
      <c r="R61" s="191"/>
      <c r="S61" s="198"/>
      <c r="T61" s="198"/>
      <c r="U61" s="198"/>
      <c r="V61" s="198"/>
      <c r="W61" s="198"/>
      <c r="X61" s="198"/>
      <c r="Y61" s="198"/>
      <c r="Z61" s="198"/>
    </row>
    <row r="62" spans="1:26" x14ac:dyDescent="0.6">
      <c r="A62" s="195"/>
      <c r="B62" s="174" t="s">
        <v>80</v>
      </c>
      <c r="C62" s="175">
        <f t="shared" si="6"/>
        <v>365000</v>
      </c>
      <c r="D62" s="184">
        <f t="shared" si="8"/>
        <v>358410.64</v>
      </c>
      <c r="E62" s="175">
        <f>E16+จ่ายจากเงินสะสม!C15</f>
        <v>55000</v>
      </c>
      <c r="F62" s="175">
        <f>F16+จ่ายจากเงินสะสม!D15</f>
        <v>0</v>
      </c>
      <c r="G62" s="175">
        <f>G16+จ่ายจากเงินสะสม!E15</f>
        <v>233660</v>
      </c>
      <c r="H62" s="175">
        <f>H16+จ่ายจากเงินสะสม!F15</f>
        <v>0</v>
      </c>
      <c r="I62" s="175">
        <f>I16+จ่ายจากเงินสะสม!G15</f>
        <v>0</v>
      </c>
      <c r="J62" s="175">
        <f>J16+จ่ายจากเงินสะสม!H15</f>
        <v>25000</v>
      </c>
      <c r="K62" s="175">
        <f>K16+จ่ายจากเงินสะสม!I15</f>
        <v>44750.64</v>
      </c>
      <c r="L62" s="175">
        <f>L16+จ่ายจากเงินสะสม!J15</f>
        <v>0</v>
      </c>
      <c r="M62" s="175">
        <v>0</v>
      </c>
      <c r="N62" s="195"/>
      <c r="O62" s="188"/>
      <c r="P62" s="191"/>
      <c r="Q62" s="191"/>
      <c r="R62" s="191"/>
      <c r="S62" s="198"/>
      <c r="T62" s="198"/>
      <c r="U62" s="198"/>
      <c r="V62" s="198"/>
      <c r="W62" s="198"/>
      <c r="X62" s="198"/>
      <c r="Y62" s="198"/>
      <c r="Z62" s="198"/>
    </row>
    <row r="63" spans="1:26" ht="25.5" thickBot="1" x14ac:dyDescent="0.65">
      <c r="A63" s="185"/>
      <c r="B63" s="186" t="s">
        <v>5</v>
      </c>
      <c r="C63" s="187">
        <f>SUM(C52:C62)</f>
        <v>25067500</v>
      </c>
      <c r="D63" s="187">
        <f>SUM(D52:D62)</f>
        <v>22875621.199999999</v>
      </c>
      <c r="E63" s="187">
        <f t="shared" ref="E63:M63" si="9">SUM(E52:E62)</f>
        <v>8230196.25</v>
      </c>
      <c r="F63" s="187">
        <f t="shared" si="9"/>
        <v>58738</v>
      </c>
      <c r="G63" s="187">
        <f t="shared" si="9"/>
        <v>2309647.1</v>
      </c>
      <c r="H63" s="187">
        <f t="shared" si="9"/>
        <v>564895</v>
      </c>
      <c r="I63" s="187">
        <f t="shared" si="9"/>
        <v>4213186</v>
      </c>
      <c r="J63" s="187">
        <f t="shared" si="9"/>
        <v>343360</v>
      </c>
      <c r="K63" s="187">
        <f t="shared" si="9"/>
        <v>100070.64</v>
      </c>
      <c r="L63" s="187">
        <f t="shared" si="9"/>
        <v>0</v>
      </c>
      <c r="M63" s="187">
        <f t="shared" si="9"/>
        <v>7055528.21</v>
      </c>
      <c r="N63" s="195"/>
      <c r="O63" s="189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</row>
    <row r="64" spans="1:26" ht="25.5" thickTop="1" x14ac:dyDescent="0.6">
      <c r="A64" s="194" t="s">
        <v>72</v>
      </c>
      <c r="B64" s="170"/>
      <c r="C64" s="202"/>
      <c r="D64" s="202"/>
      <c r="E64" s="220"/>
      <c r="F64" s="221"/>
      <c r="G64" s="221"/>
      <c r="H64" s="221"/>
      <c r="I64" s="221"/>
      <c r="J64" s="221"/>
      <c r="K64" s="221"/>
      <c r="L64" s="221"/>
      <c r="M64" s="221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</row>
    <row r="65" spans="1:26" x14ac:dyDescent="0.6">
      <c r="A65" s="195"/>
      <c r="B65" s="174" t="s">
        <v>73</v>
      </c>
      <c r="C65" s="175">
        <f t="shared" ref="C65:D72" si="10">C33</f>
        <v>151000</v>
      </c>
      <c r="D65" s="175">
        <f t="shared" si="10"/>
        <v>345252.25</v>
      </c>
      <c r="E65" s="212"/>
      <c r="F65" s="198"/>
      <c r="G65" s="198"/>
      <c r="H65" s="198"/>
      <c r="I65" s="198"/>
      <c r="J65" s="198"/>
      <c r="K65" s="198"/>
      <c r="L65" s="198"/>
      <c r="M65" s="198"/>
      <c r="N65" s="188"/>
      <c r="O65" s="188"/>
      <c r="P65" s="188"/>
      <c r="Q65" s="222"/>
      <c r="R65" s="188"/>
      <c r="S65" s="188"/>
      <c r="T65" s="188"/>
      <c r="U65" s="188"/>
      <c r="V65" s="188"/>
      <c r="W65" s="188"/>
      <c r="X65" s="188"/>
      <c r="Y65" s="188"/>
      <c r="Z65" s="188"/>
    </row>
    <row r="66" spans="1:26" x14ac:dyDescent="0.6">
      <c r="A66" s="195"/>
      <c r="B66" s="174" t="s">
        <v>159</v>
      </c>
      <c r="C66" s="175">
        <f t="shared" si="10"/>
        <v>258500</v>
      </c>
      <c r="D66" s="175">
        <f t="shared" si="10"/>
        <v>522331.4</v>
      </c>
      <c r="E66" s="212"/>
      <c r="F66" s="198"/>
      <c r="G66" s="198"/>
      <c r="H66" s="198"/>
      <c r="I66" s="198"/>
      <c r="J66" s="198"/>
      <c r="K66" s="198"/>
      <c r="L66" s="198"/>
      <c r="M66" s="198"/>
    </row>
    <row r="67" spans="1:26" x14ac:dyDescent="0.6">
      <c r="A67" s="195"/>
      <c r="B67" s="174" t="s">
        <v>81</v>
      </c>
      <c r="C67" s="175">
        <f t="shared" si="10"/>
        <v>100000</v>
      </c>
      <c r="D67" s="175">
        <f t="shared" si="10"/>
        <v>114077.03</v>
      </c>
      <c r="E67" s="212"/>
      <c r="F67" s="198"/>
      <c r="G67" s="198"/>
      <c r="H67" s="198"/>
      <c r="I67" s="198"/>
      <c r="J67" s="198"/>
      <c r="K67" s="198"/>
      <c r="L67" s="198"/>
      <c r="M67" s="198"/>
    </row>
    <row r="68" spans="1:26" x14ac:dyDescent="0.6">
      <c r="A68" s="195"/>
      <c r="B68" s="174" t="s">
        <v>82</v>
      </c>
      <c r="C68" s="175">
        <f t="shared" si="10"/>
        <v>0</v>
      </c>
      <c r="D68" s="175">
        <f t="shared" si="10"/>
        <v>0</v>
      </c>
      <c r="E68" s="212"/>
      <c r="F68" s="198"/>
      <c r="G68" s="198"/>
      <c r="H68" s="198"/>
      <c r="I68" s="198"/>
      <c r="J68" s="198"/>
      <c r="K68" s="198"/>
      <c r="L68" s="198"/>
      <c r="M68" s="198"/>
    </row>
    <row r="69" spans="1:26" x14ac:dyDescent="0.6">
      <c r="A69" s="195"/>
      <c r="B69" s="174" t="s">
        <v>74</v>
      </c>
      <c r="C69" s="175">
        <f t="shared" si="10"/>
        <v>5500</v>
      </c>
      <c r="D69" s="175">
        <f t="shared" si="10"/>
        <v>48351.519999999997</v>
      </c>
      <c r="E69" s="212"/>
      <c r="F69" s="198"/>
      <c r="G69" s="198"/>
      <c r="H69" s="198"/>
      <c r="I69" s="198"/>
      <c r="J69" s="198"/>
      <c r="K69" s="198"/>
      <c r="L69" s="198"/>
      <c r="M69" s="198"/>
    </row>
    <row r="70" spans="1:26" x14ac:dyDescent="0.6">
      <c r="A70" s="195"/>
      <c r="B70" s="174" t="s">
        <v>75</v>
      </c>
      <c r="C70" s="175">
        <f t="shared" si="10"/>
        <v>0</v>
      </c>
      <c r="D70" s="175">
        <f t="shared" si="10"/>
        <v>0</v>
      </c>
      <c r="E70" s="212"/>
      <c r="F70" s="198"/>
      <c r="G70" s="198"/>
      <c r="H70" s="198"/>
      <c r="I70" s="198"/>
      <c r="J70" s="198"/>
      <c r="K70" s="198"/>
      <c r="L70" s="198"/>
      <c r="M70" s="198"/>
    </row>
    <row r="71" spans="1:26" x14ac:dyDescent="0.6">
      <c r="A71" s="195"/>
      <c r="B71" s="174" t="s">
        <v>76</v>
      </c>
      <c r="C71" s="175">
        <f t="shared" si="10"/>
        <v>13485000</v>
      </c>
      <c r="D71" s="175">
        <f t="shared" si="10"/>
        <v>14527813.369999999</v>
      </c>
      <c r="E71" s="212"/>
      <c r="F71" s="198"/>
      <c r="G71" s="198"/>
      <c r="H71" s="198"/>
      <c r="I71" s="198"/>
      <c r="J71" s="198"/>
      <c r="K71" s="198"/>
      <c r="L71" s="198"/>
      <c r="M71" s="198"/>
    </row>
    <row r="72" spans="1:26" x14ac:dyDescent="0.6">
      <c r="A72" s="195"/>
      <c r="B72" s="174" t="s">
        <v>77</v>
      </c>
      <c r="C72" s="175">
        <f t="shared" si="10"/>
        <v>11067500</v>
      </c>
      <c r="D72" s="175">
        <f t="shared" si="10"/>
        <v>9682505</v>
      </c>
      <c r="E72" s="212"/>
      <c r="F72" s="198"/>
      <c r="G72" s="198"/>
      <c r="H72" s="198"/>
      <c r="I72" s="198"/>
      <c r="J72" s="198"/>
      <c r="K72" s="198"/>
      <c r="L72" s="198"/>
      <c r="M72" s="198"/>
    </row>
    <row r="73" spans="1:26" x14ac:dyDescent="0.6">
      <c r="A73" s="195"/>
      <c r="B73" s="174" t="s">
        <v>179</v>
      </c>
      <c r="C73" s="175">
        <v>0</v>
      </c>
      <c r="D73" s="175">
        <f>D41</f>
        <v>0</v>
      </c>
      <c r="E73" s="212"/>
      <c r="F73" s="198"/>
      <c r="G73" s="198"/>
      <c r="H73" s="198"/>
      <c r="I73" s="198"/>
      <c r="J73" s="198"/>
      <c r="K73" s="198"/>
      <c r="L73" s="198"/>
      <c r="M73" s="198"/>
    </row>
    <row r="74" spans="1:26" x14ac:dyDescent="0.6">
      <c r="A74" s="195"/>
      <c r="B74" s="174" t="s">
        <v>78</v>
      </c>
      <c r="C74" s="175">
        <f>C42</f>
        <v>0</v>
      </c>
      <c r="D74" s="175">
        <f>D42</f>
        <v>2173695</v>
      </c>
      <c r="E74" s="212"/>
      <c r="F74" s="198"/>
      <c r="G74" s="198"/>
      <c r="H74" s="198"/>
      <c r="I74" s="198"/>
      <c r="J74" s="198"/>
      <c r="K74" s="198"/>
      <c r="L74" s="198"/>
      <c r="M74" s="198"/>
    </row>
    <row r="75" spans="1:26" ht="25.5" thickBot="1" x14ac:dyDescent="0.65">
      <c r="A75" s="185"/>
      <c r="B75" s="186" t="s">
        <v>83</v>
      </c>
      <c r="C75" s="213">
        <f>SUM(C65:C74)</f>
        <v>25067500</v>
      </c>
      <c r="D75" s="213">
        <f>SUM(D65:D74)</f>
        <v>27414025.57</v>
      </c>
      <c r="E75" s="212"/>
      <c r="F75" s="198"/>
      <c r="G75" s="198"/>
      <c r="H75" s="198"/>
      <c r="I75" s="198"/>
      <c r="J75" s="198"/>
      <c r="K75" s="198"/>
      <c r="L75" s="198"/>
      <c r="M75" s="198"/>
    </row>
    <row r="76" spans="1:26" ht="26.25" thickTop="1" thickBot="1" x14ac:dyDescent="0.65">
      <c r="B76" s="223" t="s">
        <v>84</v>
      </c>
      <c r="D76" s="224">
        <f>D75-D63-D74</f>
        <v>2364709.370000001</v>
      </c>
    </row>
    <row r="77" spans="1:26" ht="25.5" thickTop="1" x14ac:dyDescent="0.6">
      <c r="B77" s="223"/>
    </row>
    <row r="78" spans="1:26" x14ac:dyDescent="0.6">
      <c r="B78" s="223"/>
    </row>
    <row r="79" spans="1:26" x14ac:dyDescent="0.6">
      <c r="B79" s="223"/>
    </row>
    <row r="80" spans="1:26" x14ac:dyDescent="0.6">
      <c r="B80" s="223"/>
    </row>
    <row r="81" spans="1:13" x14ac:dyDescent="0.6">
      <c r="B81" s="223"/>
    </row>
    <row r="82" spans="1:13" x14ac:dyDescent="0.6">
      <c r="B82" s="223"/>
    </row>
    <row r="83" spans="1:13" x14ac:dyDescent="0.6">
      <c r="B83" s="223"/>
    </row>
    <row r="84" spans="1:13" x14ac:dyDescent="0.6">
      <c r="B84" s="223"/>
    </row>
    <row r="85" spans="1:13" x14ac:dyDescent="0.6">
      <c r="B85" s="223"/>
    </row>
    <row r="86" spans="1:13" x14ac:dyDescent="0.6">
      <c r="B86" s="223"/>
    </row>
    <row r="87" spans="1:13" x14ac:dyDescent="0.6">
      <c r="B87" s="223"/>
    </row>
    <row r="88" spans="1:13" x14ac:dyDescent="0.6">
      <c r="B88" s="223"/>
    </row>
    <row r="89" spans="1:13" x14ac:dyDescent="0.6">
      <c r="B89" s="223"/>
    </row>
    <row r="90" spans="1:13" ht="27.75" x14ac:dyDescent="0.5">
      <c r="A90" s="363" t="s">
        <v>0</v>
      </c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</row>
    <row r="91" spans="1:13" ht="27.75" x14ac:dyDescent="0.5">
      <c r="A91" s="363" t="s">
        <v>259</v>
      </c>
      <c r="B91" s="363"/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</row>
    <row r="92" spans="1:13" ht="27.75" x14ac:dyDescent="0.5">
      <c r="A92" s="363" t="s">
        <v>399</v>
      </c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</row>
    <row r="93" spans="1:13" ht="74.25" x14ac:dyDescent="0.5">
      <c r="A93" s="362" t="s">
        <v>60</v>
      </c>
      <c r="B93" s="362"/>
      <c r="C93" s="168" t="s">
        <v>56</v>
      </c>
      <c r="D93" s="168" t="s">
        <v>5</v>
      </c>
      <c r="E93" s="168" t="s">
        <v>57</v>
      </c>
      <c r="F93" s="168" t="s">
        <v>61</v>
      </c>
      <c r="G93" s="168" t="s">
        <v>58</v>
      </c>
      <c r="H93" s="168" t="s">
        <v>62</v>
      </c>
      <c r="I93" s="168" t="s">
        <v>59</v>
      </c>
      <c r="J93" s="168" t="s">
        <v>63</v>
      </c>
      <c r="K93" s="168" t="s">
        <v>64</v>
      </c>
      <c r="L93" s="168" t="s">
        <v>65</v>
      </c>
      <c r="M93" s="168" t="s">
        <v>54</v>
      </c>
    </row>
    <row r="94" spans="1:13" x14ac:dyDescent="0.6">
      <c r="A94" s="194" t="s">
        <v>66</v>
      </c>
      <c r="B94" s="170"/>
      <c r="C94" s="171"/>
      <c r="D94" s="171"/>
      <c r="E94" s="171"/>
      <c r="F94" s="172"/>
      <c r="G94" s="172"/>
      <c r="H94" s="172"/>
      <c r="I94" s="172"/>
      <c r="J94" s="172"/>
      <c r="K94" s="172"/>
      <c r="L94" s="172"/>
      <c r="M94" s="172"/>
    </row>
    <row r="95" spans="1:13" x14ac:dyDescent="0.6">
      <c r="A95" s="195"/>
      <c r="B95" s="174" t="s">
        <v>54</v>
      </c>
      <c r="C95" s="175">
        <f t="shared" ref="C95:C105" si="11">C6</f>
        <v>7377650</v>
      </c>
      <c r="D95" s="175">
        <f>SUM(E95:M95)</f>
        <v>7055528.21</v>
      </c>
      <c r="E95" s="175">
        <f t="shared" ref="E95:M95" si="12">E52</f>
        <v>0</v>
      </c>
      <c r="F95" s="175">
        <f t="shared" si="12"/>
        <v>0</v>
      </c>
      <c r="G95" s="175">
        <f t="shared" si="12"/>
        <v>0</v>
      </c>
      <c r="H95" s="175">
        <f t="shared" si="12"/>
        <v>0</v>
      </c>
      <c r="I95" s="175">
        <f t="shared" si="12"/>
        <v>0</v>
      </c>
      <c r="J95" s="175">
        <f t="shared" si="12"/>
        <v>0</v>
      </c>
      <c r="K95" s="175">
        <f t="shared" si="12"/>
        <v>0</v>
      </c>
      <c r="L95" s="175">
        <f t="shared" si="12"/>
        <v>0</v>
      </c>
      <c r="M95" s="175">
        <f t="shared" si="12"/>
        <v>7055528.21</v>
      </c>
    </row>
    <row r="96" spans="1:13" x14ac:dyDescent="0.6">
      <c r="A96" s="195"/>
      <c r="B96" s="174" t="s">
        <v>67</v>
      </c>
      <c r="C96" s="175">
        <f t="shared" si="11"/>
        <v>2624640</v>
      </c>
      <c r="D96" s="176">
        <f t="shared" ref="D96:D97" si="13">SUM(E96:M96)</f>
        <v>2508720</v>
      </c>
      <c r="E96" s="175">
        <f t="shared" ref="E96:M96" si="14">E53</f>
        <v>2508720</v>
      </c>
      <c r="F96" s="175">
        <f t="shared" si="14"/>
        <v>0</v>
      </c>
      <c r="G96" s="175">
        <f t="shared" si="14"/>
        <v>0</v>
      </c>
      <c r="H96" s="175">
        <f t="shared" si="14"/>
        <v>0</v>
      </c>
      <c r="I96" s="175">
        <f t="shared" si="14"/>
        <v>0</v>
      </c>
      <c r="J96" s="175">
        <f t="shared" si="14"/>
        <v>0</v>
      </c>
      <c r="K96" s="175">
        <f t="shared" si="14"/>
        <v>0</v>
      </c>
      <c r="L96" s="175">
        <f t="shared" si="14"/>
        <v>0</v>
      </c>
      <c r="M96" s="175">
        <f t="shared" si="14"/>
        <v>0</v>
      </c>
    </row>
    <row r="97" spans="1:15" x14ac:dyDescent="0.6">
      <c r="A97" s="195"/>
      <c r="B97" s="174" t="s">
        <v>68</v>
      </c>
      <c r="C97" s="175">
        <f t="shared" si="11"/>
        <v>6186130</v>
      </c>
      <c r="D97" s="176">
        <f t="shared" si="13"/>
        <v>5820354.5</v>
      </c>
      <c r="E97" s="175">
        <f t="shared" ref="E97:M97" si="15">E54</f>
        <v>3744120</v>
      </c>
      <c r="F97" s="175">
        <f t="shared" si="15"/>
        <v>0</v>
      </c>
      <c r="G97" s="175">
        <f t="shared" si="15"/>
        <v>799194.5</v>
      </c>
      <c r="H97" s="175">
        <f t="shared" si="15"/>
        <v>0</v>
      </c>
      <c r="I97" s="175">
        <f t="shared" si="15"/>
        <v>991680</v>
      </c>
      <c r="J97" s="175">
        <f t="shared" si="15"/>
        <v>285360</v>
      </c>
      <c r="K97" s="175">
        <f t="shared" si="15"/>
        <v>0</v>
      </c>
      <c r="L97" s="175">
        <f t="shared" si="15"/>
        <v>0</v>
      </c>
      <c r="M97" s="175">
        <f t="shared" si="15"/>
        <v>0</v>
      </c>
    </row>
    <row r="98" spans="1:15" x14ac:dyDescent="0.6">
      <c r="A98" s="195"/>
      <c r="B98" s="174" t="s">
        <v>40</v>
      </c>
      <c r="C98" s="175">
        <f t="shared" si="11"/>
        <v>179700</v>
      </c>
      <c r="D98" s="176">
        <f>SUM(E98:M98)</f>
        <v>124912</v>
      </c>
      <c r="E98" s="175">
        <f t="shared" ref="E98:M98" si="16">E55</f>
        <v>28912</v>
      </c>
      <c r="F98" s="175">
        <f t="shared" si="16"/>
        <v>0</v>
      </c>
      <c r="G98" s="175">
        <f t="shared" si="16"/>
        <v>2400</v>
      </c>
      <c r="H98" s="175">
        <f t="shared" si="16"/>
        <v>0</v>
      </c>
      <c r="I98" s="175">
        <f t="shared" si="16"/>
        <v>93600</v>
      </c>
      <c r="J98" s="175">
        <f t="shared" si="16"/>
        <v>0</v>
      </c>
      <c r="K98" s="175">
        <f t="shared" si="16"/>
        <v>0</v>
      </c>
      <c r="L98" s="175">
        <f t="shared" si="16"/>
        <v>0</v>
      </c>
      <c r="M98" s="175">
        <f t="shared" si="16"/>
        <v>0</v>
      </c>
    </row>
    <row r="99" spans="1:15" x14ac:dyDescent="0.6">
      <c r="A99" s="195"/>
      <c r="B99" s="174" t="s">
        <v>47</v>
      </c>
      <c r="C99" s="175">
        <f t="shared" si="11"/>
        <v>4209550</v>
      </c>
      <c r="D99" s="176">
        <f t="shared" ref="D99:D105" si="17">SUM(E99:M99)</f>
        <v>3595453.6799999997</v>
      </c>
      <c r="E99" s="175">
        <f t="shared" ref="E99:M99" si="18">E56</f>
        <v>1163609.68</v>
      </c>
      <c r="F99" s="175">
        <f t="shared" si="18"/>
        <v>27738</v>
      </c>
      <c r="G99" s="175">
        <f t="shared" si="18"/>
        <v>864960</v>
      </c>
      <c r="H99" s="175">
        <f t="shared" si="18"/>
        <v>550066</v>
      </c>
      <c r="I99" s="175">
        <f t="shared" si="18"/>
        <v>900760</v>
      </c>
      <c r="J99" s="175">
        <f t="shared" si="18"/>
        <v>33000</v>
      </c>
      <c r="K99" s="175">
        <f t="shared" si="18"/>
        <v>55320</v>
      </c>
      <c r="L99" s="175">
        <f t="shared" si="18"/>
        <v>0</v>
      </c>
      <c r="M99" s="175">
        <f t="shared" si="18"/>
        <v>0</v>
      </c>
    </row>
    <row r="100" spans="1:15" x14ac:dyDescent="0.6">
      <c r="A100" s="195"/>
      <c r="B100" s="174" t="s">
        <v>39</v>
      </c>
      <c r="C100" s="175">
        <f t="shared" si="11"/>
        <v>1584080</v>
      </c>
      <c r="D100" s="176">
        <f t="shared" si="17"/>
        <v>1120627.33</v>
      </c>
      <c r="E100" s="175">
        <f t="shared" ref="E100:M100" si="19">E57</f>
        <v>264745.90000000002</v>
      </c>
      <c r="F100" s="175">
        <f t="shared" si="19"/>
        <v>31000</v>
      </c>
      <c r="G100" s="175">
        <f t="shared" si="19"/>
        <v>308514.43000000005</v>
      </c>
      <c r="H100" s="175">
        <f t="shared" si="19"/>
        <v>14829</v>
      </c>
      <c r="I100" s="175">
        <f t="shared" si="19"/>
        <v>501538</v>
      </c>
      <c r="J100" s="175">
        <f t="shared" si="19"/>
        <v>0</v>
      </c>
      <c r="K100" s="175">
        <f t="shared" si="19"/>
        <v>0</v>
      </c>
      <c r="L100" s="175">
        <f t="shared" si="19"/>
        <v>0</v>
      </c>
      <c r="M100" s="175">
        <f t="shared" si="19"/>
        <v>0</v>
      </c>
    </row>
    <row r="101" spans="1:15" x14ac:dyDescent="0.6">
      <c r="A101" s="195"/>
      <c r="B101" s="174" t="s">
        <v>69</v>
      </c>
      <c r="C101" s="175">
        <f t="shared" si="11"/>
        <v>430720</v>
      </c>
      <c r="D101" s="176">
        <f t="shared" si="17"/>
        <v>395444.84</v>
      </c>
      <c r="E101" s="175">
        <f t="shared" ref="E101:M101" si="20">E58</f>
        <v>324488.67000000004</v>
      </c>
      <c r="F101" s="175">
        <f t="shared" si="20"/>
        <v>0</v>
      </c>
      <c r="G101" s="175">
        <f t="shared" si="20"/>
        <v>55548.17</v>
      </c>
      <c r="H101" s="175">
        <f t="shared" si="20"/>
        <v>0</v>
      </c>
      <c r="I101" s="175">
        <f t="shared" si="20"/>
        <v>15408</v>
      </c>
      <c r="J101" s="175">
        <f t="shared" si="20"/>
        <v>0</v>
      </c>
      <c r="K101" s="175">
        <f t="shared" si="20"/>
        <v>0</v>
      </c>
      <c r="L101" s="175">
        <f t="shared" si="20"/>
        <v>0</v>
      </c>
      <c r="M101" s="175">
        <f t="shared" si="20"/>
        <v>0</v>
      </c>
    </row>
    <row r="102" spans="1:15" x14ac:dyDescent="0.6">
      <c r="A102" s="195"/>
      <c r="B102" s="174" t="s">
        <v>86</v>
      </c>
      <c r="C102" s="175">
        <f t="shared" si="11"/>
        <v>425700</v>
      </c>
      <c r="D102" s="176">
        <f t="shared" si="17"/>
        <v>330170</v>
      </c>
      <c r="E102" s="175">
        <f t="shared" ref="E102:M102" si="21">E59</f>
        <v>140600</v>
      </c>
      <c r="F102" s="175">
        <f t="shared" si="21"/>
        <v>0</v>
      </c>
      <c r="G102" s="175">
        <f t="shared" si="21"/>
        <v>45370</v>
      </c>
      <c r="H102" s="175">
        <f t="shared" si="21"/>
        <v>0</v>
      </c>
      <c r="I102" s="175">
        <f t="shared" si="21"/>
        <v>144200</v>
      </c>
      <c r="J102" s="175">
        <f t="shared" si="21"/>
        <v>0</v>
      </c>
      <c r="K102" s="175">
        <f t="shared" si="21"/>
        <v>0</v>
      </c>
      <c r="L102" s="175">
        <f t="shared" si="21"/>
        <v>0</v>
      </c>
      <c r="M102" s="175">
        <f t="shared" si="21"/>
        <v>0</v>
      </c>
    </row>
    <row r="103" spans="1:15" x14ac:dyDescent="0.6">
      <c r="A103" s="195"/>
      <c r="B103" s="174" t="s">
        <v>87</v>
      </c>
      <c r="C103" s="175">
        <f t="shared" si="11"/>
        <v>1679330</v>
      </c>
      <c r="D103" s="176">
        <f t="shared" si="17"/>
        <v>1766000</v>
      </c>
      <c r="E103" s="175">
        <f t="shared" ref="E103:M103" si="22">E60</f>
        <v>0</v>
      </c>
      <c r="F103" s="175">
        <f t="shared" si="22"/>
        <v>0</v>
      </c>
      <c r="G103" s="175">
        <f t="shared" si="22"/>
        <v>0</v>
      </c>
      <c r="H103" s="175">
        <f t="shared" si="22"/>
        <v>0</v>
      </c>
      <c r="I103" s="175">
        <f>I60+จ่ายจากเงินสะสม!G49</f>
        <v>1766000</v>
      </c>
      <c r="J103" s="175">
        <f t="shared" si="22"/>
        <v>0</v>
      </c>
      <c r="K103" s="175">
        <f t="shared" si="22"/>
        <v>0</v>
      </c>
      <c r="L103" s="175">
        <f t="shared" si="22"/>
        <v>0</v>
      </c>
      <c r="M103" s="175">
        <f t="shared" si="22"/>
        <v>0</v>
      </c>
    </row>
    <row r="104" spans="1:15" x14ac:dyDescent="0.6">
      <c r="A104" s="195"/>
      <c r="B104" s="174" t="s">
        <v>79</v>
      </c>
      <c r="C104" s="175">
        <f t="shared" si="11"/>
        <v>5000</v>
      </c>
      <c r="D104" s="176">
        <f t="shared" si="17"/>
        <v>0</v>
      </c>
      <c r="E104" s="175">
        <f t="shared" ref="E104:M104" si="23">E61</f>
        <v>0</v>
      </c>
      <c r="F104" s="175">
        <f t="shared" si="23"/>
        <v>0</v>
      </c>
      <c r="G104" s="175">
        <f t="shared" si="23"/>
        <v>0</v>
      </c>
      <c r="H104" s="175">
        <f t="shared" si="23"/>
        <v>0</v>
      </c>
      <c r="I104" s="175">
        <f t="shared" si="23"/>
        <v>0</v>
      </c>
      <c r="J104" s="175">
        <f t="shared" si="23"/>
        <v>0</v>
      </c>
      <c r="K104" s="175">
        <f t="shared" si="23"/>
        <v>0</v>
      </c>
      <c r="L104" s="175">
        <f t="shared" si="23"/>
        <v>0</v>
      </c>
      <c r="M104" s="175">
        <f t="shared" si="23"/>
        <v>0</v>
      </c>
    </row>
    <row r="105" spans="1:15" x14ac:dyDescent="0.6">
      <c r="A105" s="195"/>
      <c r="B105" s="174" t="s">
        <v>80</v>
      </c>
      <c r="C105" s="175">
        <f t="shared" si="11"/>
        <v>365000</v>
      </c>
      <c r="D105" s="184">
        <f t="shared" si="17"/>
        <v>358410.64</v>
      </c>
      <c r="E105" s="175">
        <f t="shared" ref="E105:M105" si="24">E62</f>
        <v>55000</v>
      </c>
      <c r="F105" s="175">
        <f t="shared" si="24"/>
        <v>0</v>
      </c>
      <c r="G105" s="175">
        <f t="shared" si="24"/>
        <v>233660</v>
      </c>
      <c r="H105" s="175">
        <f t="shared" si="24"/>
        <v>0</v>
      </c>
      <c r="I105" s="175">
        <f t="shared" si="24"/>
        <v>0</v>
      </c>
      <c r="J105" s="175">
        <f t="shared" si="24"/>
        <v>25000</v>
      </c>
      <c r="K105" s="175">
        <f t="shared" si="24"/>
        <v>44750.64</v>
      </c>
      <c r="L105" s="175">
        <f t="shared" si="24"/>
        <v>0</v>
      </c>
      <c r="M105" s="175">
        <f t="shared" si="24"/>
        <v>0</v>
      </c>
    </row>
    <row r="106" spans="1:15" ht="25.5" thickBot="1" x14ac:dyDescent="0.65">
      <c r="A106" s="185"/>
      <c r="B106" s="186" t="s">
        <v>5</v>
      </c>
      <c r="C106" s="187">
        <f>SUM(C95:C105)</f>
        <v>25067500</v>
      </c>
      <c r="D106" s="187">
        <f>SUM(D95:D105)</f>
        <v>23075621.199999999</v>
      </c>
      <c r="E106" s="187">
        <f t="shared" ref="E106:M106" si="25">SUM(E95:E105)</f>
        <v>8230196.25</v>
      </c>
      <c r="F106" s="187">
        <f t="shared" si="25"/>
        <v>58738</v>
      </c>
      <c r="G106" s="187">
        <f t="shared" si="25"/>
        <v>2309647.1</v>
      </c>
      <c r="H106" s="187">
        <f t="shared" si="25"/>
        <v>564895</v>
      </c>
      <c r="I106" s="187">
        <f t="shared" si="25"/>
        <v>4413186</v>
      </c>
      <c r="J106" s="187">
        <f t="shared" si="25"/>
        <v>343360</v>
      </c>
      <c r="K106" s="187">
        <f t="shared" si="25"/>
        <v>100070.64</v>
      </c>
      <c r="L106" s="187">
        <f t="shared" si="25"/>
        <v>0</v>
      </c>
      <c r="M106" s="187">
        <f t="shared" si="25"/>
        <v>7055528.21</v>
      </c>
      <c r="O106" s="179"/>
    </row>
    <row r="107" spans="1:15" ht="25.5" thickTop="1" x14ac:dyDescent="0.6">
      <c r="A107" s="194" t="s">
        <v>72</v>
      </c>
      <c r="B107" s="170"/>
      <c r="C107" s="202"/>
      <c r="D107" s="202"/>
      <c r="E107" s="220"/>
      <c r="F107" s="221"/>
      <c r="G107" s="221"/>
      <c r="H107" s="221"/>
      <c r="I107" s="221"/>
      <c r="J107" s="221"/>
      <c r="K107" s="221"/>
      <c r="L107" s="221"/>
      <c r="M107" s="221"/>
    </row>
    <row r="108" spans="1:15" x14ac:dyDescent="0.6">
      <c r="A108" s="195"/>
      <c r="B108" s="174" t="s">
        <v>73</v>
      </c>
      <c r="C108" s="175">
        <f t="shared" ref="C108:D117" si="26">C33</f>
        <v>151000</v>
      </c>
      <c r="D108" s="175">
        <f t="shared" si="26"/>
        <v>345252.25</v>
      </c>
      <c r="E108" s="212"/>
      <c r="F108" s="198"/>
      <c r="G108" s="198"/>
      <c r="H108" s="198"/>
      <c r="I108" s="198"/>
      <c r="J108" s="198"/>
      <c r="K108" s="198"/>
      <c r="L108" s="198"/>
      <c r="M108" s="198"/>
    </row>
    <row r="109" spans="1:15" x14ac:dyDescent="0.6">
      <c r="A109" s="195"/>
      <c r="B109" s="174" t="s">
        <v>159</v>
      </c>
      <c r="C109" s="175">
        <f t="shared" si="26"/>
        <v>258500</v>
      </c>
      <c r="D109" s="175">
        <f t="shared" si="26"/>
        <v>522331.4</v>
      </c>
      <c r="E109" s="212"/>
      <c r="F109" s="198"/>
      <c r="G109" s="198"/>
      <c r="H109" s="198"/>
      <c r="I109" s="198"/>
      <c r="J109" s="198"/>
      <c r="K109" s="198"/>
      <c r="L109" s="198"/>
      <c r="M109" s="198"/>
    </row>
    <row r="110" spans="1:15" x14ac:dyDescent="0.6">
      <c r="A110" s="195"/>
      <c r="B110" s="174" t="s">
        <v>81</v>
      </c>
      <c r="C110" s="175">
        <f t="shared" si="26"/>
        <v>100000</v>
      </c>
      <c r="D110" s="175">
        <f t="shared" si="26"/>
        <v>114077.03</v>
      </c>
      <c r="E110" s="212"/>
      <c r="F110" s="198"/>
      <c r="G110" s="198"/>
      <c r="H110" s="198"/>
      <c r="I110" s="198"/>
      <c r="J110" s="198"/>
      <c r="K110" s="198"/>
      <c r="L110" s="198"/>
      <c r="M110" s="198"/>
    </row>
    <row r="111" spans="1:15" x14ac:dyDescent="0.6">
      <c r="A111" s="195"/>
      <c r="B111" s="174" t="s">
        <v>82</v>
      </c>
      <c r="C111" s="175">
        <f t="shared" si="26"/>
        <v>0</v>
      </c>
      <c r="D111" s="175">
        <f t="shared" si="26"/>
        <v>0</v>
      </c>
      <c r="E111" s="212"/>
      <c r="F111" s="198"/>
      <c r="G111" s="198"/>
      <c r="H111" s="198"/>
      <c r="I111" s="198"/>
      <c r="J111" s="198"/>
      <c r="K111" s="198"/>
      <c r="L111" s="198"/>
      <c r="M111" s="198"/>
    </row>
    <row r="112" spans="1:15" x14ac:dyDescent="0.6">
      <c r="A112" s="195"/>
      <c r="B112" s="174" t="s">
        <v>74</v>
      </c>
      <c r="C112" s="175">
        <f t="shared" si="26"/>
        <v>5500</v>
      </c>
      <c r="D112" s="175">
        <f t="shared" si="26"/>
        <v>48351.519999999997</v>
      </c>
      <c r="E112" s="212"/>
      <c r="F112" s="198"/>
      <c r="G112" s="198"/>
      <c r="H112" s="198"/>
      <c r="I112" s="198"/>
      <c r="J112" s="198"/>
      <c r="K112" s="198"/>
      <c r="L112" s="198"/>
      <c r="M112" s="198"/>
    </row>
    <row r="113" spans="1:13" x14ac:dyDescent="0.6">
      <c r="A113" s="195"/>
      <c r="B113" s="174" t="s">
        <v>75</v>
      </c>
      <c r="C113" s="175">
        <f t="shared" si="26"/>
        <v>0</v>
      </c>
      <c r="D113" s="175">
        <f t="shared" si="26"/>
        <v>0</v>
      </c>
      <c r="E113" s="212"/>
      <c r="F113" s="198"/>
      <c r="G113" s="198"/>
      <c r="H113" s="198"/>
      <c r="I113" s="198"/>
      <c r="J113" s="198"/>
      <c r="K113" s="198"/>
      <c r="L113" s="198"/>
      <c r="M113" s="198"/>
    </row>
    <row r="114" spans="1:13" x14ac:dyDescent="0.6">
      <c r="A114" s="195"/>
      <c r="B114" s="174" t="s">
        <v>76</v>
      </c>
      <c r="C114" s="175">
        <f t="shared" si="26"/>
        <v>13485000</v>
      </c>
      <c r="D114" s="175">
        <f t="shared" si="26"/>
        <v>14527813.369999999</v>
      </c>
      <c r="E114" s="212"/>
      <c r="F114" s="198"/>
      <c r="G114" s="198"/>
      <c r="H114" s="198"/>
      <c r="I114" s="198"/>
      <c r="J114" s="198"/>
      <c r="K114" s="198"/>
      <c r="L114" s="198"/>
      <c r="M114" s="198"/>
    </row>
    <row r="115" spans="1:13" x14ac:dyDescent="0.6">
      <c r="A115" s="195"/>
      <c r="B115" s="174" t="s">
        <v>77</v>
      </c>
      <c r="C115" s="175">
        <f t="shared" si="26"/>
        <v>11067500</v>
      </c>
      <c r="D115" s="175">
        <f t="shared" si="26"/>
        <v>9682505</v>
      </c>
      <c r="E115" s="212"/>
      <c r="F115" s="198"/>
      <c r="G115" s="198"/>
      <c r="H115" s="198"/>
      <c r="I115" s="198"/>
      <c r="J115" s="198"/>
      <c r="K115" s="198"/>
      <c r="L115" s="198"/>
      <c r="M115" s="198"/>
    </row>
    <row r="116" spans="1:13" x14ac:dyDescent="0.6">
      <c r="A116" s="195"/>
      <c r="B116" s="174" t="s">
        <v>179</v>
      </c>
      <c r="C116" s="175">
        <f t="shared" si="26"/>
        <v>0</v>
      </c>
      <c r="D116" s="175">
        <f t="shared" si="26"/>
        <v>0</v>
      </c>
      <c r="E116" s="212"/>
      <c r="F116" s="198"/>
      <c r="G116" s="198"/>
      <c r="H116" s="198"/>
      <c r="I116" s="198"/>
      <c r="J116" s="198"/>
      <c r="K116" s="198"/>
      <c r="L116" s="198"/>
      <c r="M116" s="198"/>
    </row>
    <row r="117" spans="1:13" x14ac:dyDescent="0.6">
      <c r="A117" s="195"/>
      <c r="B117" s="174" t="s">
        <v>78</v>
      </c>
      <c r="C117" s="175">
        <f t="shared" si="26"/>
        <v>0</v>
      </c>
      <c r="D117" s="175">
        <f t="shared" si="26"/>
        <v>2173695</v>
      </c>
      <c r="E117" s="212"/>
      <c r="F117" s="198"/>
      <c r="G117" s="198"/>
      <c r="H117" s="198"/>
      <c r="I117" s="198"/>
      <c r="J117" s="198"/>
      <c r="K117" s="198"/>
      <c r="L117" s="198"/>
      <c r="M117" s="198"/>
    </row>
    <row r="118" spans="1:13" ht="25.5" thickBot="1" x14ac:dyDescent="0.65">
      <c r="A118" s="185"/>
      <c r="B118" s="186" t="s">
        <v>83</v>
      </c>
      <c r="C118" s="213">
        <f>SUM(C108:C117)</f>
        <v>25067500</v>
      </c>
      <c r="D118" s="213">
        <f>SUM(D108:D117)</f>
        <v>27414025.57</v>
      </c>
      <c r="E118" s="212"/>
      <c r="F118" s="198"/>
      <c r="G118" s="198"/>
      <c r="H118" s="198"/>
      <c r="I118" s="198"/>
      <c r="J118" s="198"/>
      <c r="K118" s="198"/>
      <c r="L118" s="198"/>
      <c r="M118" s="198"/>
    </row>
    <row r="119" spans="1:13" ht="26.25" thickTop="1" thickBot="1" x14ac:dyDescent="0.65">
      <c r="B119" s="223" t="s">
        <v>84</v>
      </c>
      <c r="D119" s="224">
        <f>D118-D106-D117</f>
        <v>2164709.370000001</v>
      </c>
    </row>
    <row r="120" spans="1:13" ht="25.5" thickTop="1" x14ac:dyDescent="0.6"/>
    <row r="133" spans="1:13" ht="27.75" x14ac:dyDescent="0.5">
      <c r="A133" s="363" t="s">
        <v>0</v>
      </c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</row>
    <row r="134" spans="1:13" ht="27.75" x14ac:dyDescent="0.5">
      <c r="A134" s="363" t="s">
        <v>260</v>
      </c>
      <c r="B134" s="363"/>
      <c r="C134" s="363"/>
      <c r="D134" s="363"/>
      <c r="E134" s="363"/>
      <c r="F134" s="363"/>
      <c r="G134" s="363"/>
      <c r="H134" s="363"/>
      <c r="I134" s="363"/>
      <c r="J134" s="363"/>
      <c r="K134" s="363"/>
      <c r="L134" s="363"/>
      <c r="M134" s="363"/>
    </row>
    <row r="135" spans="1:13" ht="27.75" x14ac:dyDescent="0.5">
      <c r="A135" s="363" t="s">
        <v>444</v>
      </c>
      <c r="B135" s="363"/>
      <c r="C135" s="363"/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</row>
    <row r="136" spans="1:13" ht="74.25" x14ac:dyDescent="0.5">
      <c r="A136" s="362" t="s">
        <v>60</v>
      </c>
      <c r="B136" s="362"/>
      <c r="C136" s="168" t="s">
        <v>56</v>
      </c>
      <c r="D136" s="168" t="s">
        <v>5</v>
      </c>
      <c r="E136" s="168" t="s">
        <v>57</v>
      </c>
      <c r="F136" s="168" t="s">
        <v>61</v>
      </c>
      <c r="G136" s="168" t="s">
        <v>58</v>
      </c>
      <c r="H136" s="168" t="s">
        <v>62</v>
      </c>
      <c r="I136" s="168" t="s">
        <v>59</v>
      </c>
      <c r="J136" s="168" t="s">
        <v>63</v>
      </c>
      <c r="K136" s="168" t="s">
        <v>64</v>
      </c>
      <c r="L136" s="168" t="s">
        <v>65</v>
      </c>
      <c r="M136" s="168" t="s">
        <v>54</v>
      </c>
    </row>
    <row r="137" spans="1:13" x14ac:dyDescent="0.6">
      <c r="A137" s="194" t="s">
        <v>66</v>
      </c>
      <c r="B137" s="170"/>
      <c r="C137" s="171"/>
      <c r="D137" s="171"/>
      <c r="E137" s="171"/>
      <c r="F137" s="172"/>
      <c r="G137" s="172"/>
      <c r="H137" s="172"/>
      <c r="I137" s="172"/>
      <c r="J137" s="172"/>
      <c r="K137" s="172"/>
      <c r="L137" s="172"/>
      <c r="M137" s="172"/>
    </row>
    <row r="138" spans="1:13" x14ac:dyDescent="0.6">
      <c r="A138" s="195"/>
      <c r="B138" s="174" t="s">
        <v>54</v>
      </c>
      <c r="C138" s="175">
        <f t="shared" ref="C138:C148" si="27">C6</f>
        <v>7377650</v>
      </c>
      <c r="D138" s="175">
        <f>SUM(E138:M138)</f>
        <v>7055528.21</v>
      </c>
      <c r="E138" s="175">
        <f t="shared" ref="E138:M138" si="28">E95</f>
        <v>0</v>
      </c>
      <c r="F138" s="175">
        <f t="shared" si="28"/>
        <v>0</v>
      </c>
      <c r="G138" s="175">
        <f t="shared" si="28"/>
        <v>0</v>
      </c>
      <c r="H138" s="175">
        <f t="shared" si="28"/>
        <v>0</v>
      </c>
      <c r="I138" s="175">
        <f t="shared" si="28"/>
        <v>0</v>
      </c>
      <c r="J138" s="175">
        <f t="shared" si="28"/>
        <v>0</v>
      </c>
      <c r="K138" s="175">
        <f t="shared" si="28"/>
        <v>0</v>
      </c>
      <c r="L138" s="175">
        <f t="shared" si="28"/>
        <v>0</v>
      </c>
      <c r="M138" s="175">
        <f t="shared" si="28"/>
        <v>7055528.21</v>
      </c>
    </row>
    <row r="139" spans="1:13" x14ac:dyDescent="0.6">
      <c r="A139" s="195"/>
      <c r="B139" s="174" t="s">
        <v>67</v>
      </c>
      <c r="C139" s="175">
        <f t="shared" si="27"/>
        <v>2624640</v>
      </c>
      <c r="D139" s="176">
        <f t="shared" ref="D139:D140" si="29">SUM(E139:M139)</f>
        <v>2508720</v>
      </c>
      <c r="E139" s="175">
        <f t="shared" ref="E139:M139" si="30">E96</f>
        <v>2508720</v>
      </c>
      <c r="F139" s="175">
        <f t="shared" si="30"/>
        <v>0</v>
      </c>
      <c r="G139" s="175">
        <f t="shared" si="30"/>
        <v>0</v>
      </c>
      <c r="H139" s="175">
        <f t="shared" si="30"/>
        <v>0</v>
      </c>
      <c r="I139" s="175">
        <f t="shared" si="30"/>
        <v>0</v>
      </c>
      <c r="J139" s="175">
        <f t="shared" si="30"/>
        <v>0</v>
      </c>
      <c r="K139" s="175">
        <f t="shared" si="30"/>
        <v>0</v>
      </c>
      <c r="L139" s="175">
        <f t="shared" si="30"/>
        <v>0</v>
      </c>
      <c r="M139" s="175">
        <f t="shared" si="30"/>
        <v>0</v>
      </c>
    </row>
    <row r="140" spans="1:13" x14ac:dyDescent="0.6">
      <c r="A140" s="195"/>
      <c r="B140" s="174" t="s">
        <v>68</v>
      </c>
      <c r="C140" s="175">
        <f t="shared" si="27"/>
        <v>6186130</v>
      </c>
      <c r="D140" s="176">
        <f t="shared" si="29"/>
        <v>5820354.5</v>
      </c>
      <c r="E140" s="175">
        <f t="shared" ref="E140:M140" si="31">E97</f>
        <v>3744120</v>
      </c>
      <c r="F140" s="175">
        <f t="shared" si="31"/>
        <v>0</v>
      </c>
      <c r="G140" s="175">
        <f t="shared" si="31"/>
        <v>799194.5</v>
      </c>
      <c r="H140" s="175">
        <f t="shared" si="31"/>
        <v>0</v>
      </c>
      <c r="I140" s="175">
        <f t="shared" si="31"/>
        <v>991680</v>
      </c>
      <c r="J140" s="175">
        <f t="shared" si="31"/>
        <v>285360</v>
      </c>
      <c r="K140" s="175">
        <f t="shared" si="31"/>
        <v>0</v>
      </c>
      <c r="L140" s="175">
        <f t="shared" si="31"/>
        <v>0</v>
      </c>
      <c r="M140" s="175">
        <f t="shared" si="31"/>
        <v>0</v>
      </c>
    </row>
    <row r="141" spans="1:13" x14ac:dyDescent="0.6">
      <c r="A141" s="195"/>
      <c r="B141" s="174" t="s">
        <v>40</v>
      </c>
      <c r="C141" s="175">
        <f t="shared" si="27"/>
        <v>179700</v>
      </c>
      <c r="D141" s="176">
        <f>SUM(E141:M141)</f>
        <v>124912</v>
      </c>
      <c r="E141" s="175">
        <f t="shared" ref="E141:M141" si="32">E98</f>
        <v>28912</v>
      </c>
      <c r="F141" s="175">
        <f t="shared" si="32"/>
        <v>0</v>
      </c>
      <c r="G141" s="175">
        <f t="shared" si="32"/>
        <v>2400</v>
      </c>
      <c r="H141" s="175">
        <f t="shared" si="32"/>
        <v>0</v>
      </c>
      <c r="I141" s="175">
        <f t="shared" si="32"/>
        <v>93600</v>
      </c>
      <c r="J141" s="175">
        <f t="shared" si="32"/>
        <v>0</v>
      </c>
      <c r="K141" s="175">
        <f t="shared" si="32"/>
        <v>0</v>
      </c>
      <c r="L141" s="175">
        <f t="shared" si="32"/>
        <v>0</v>
      </c>
      <c r="M141" s="175">
        <f t="shared" si="32"/>
        <v>0</v>
      </c>
    </row>
    <row r="142" spans="1:13" x14ac:dyDescent="0.6">
      <c r="A142" s="195"/>
      <c r="B142" s="174" t="s">
        <v>47</v>
      </c>
      <c r="C142" s="175">
        <f t="shared" si="27"/>
        <v>4209550</v>
      </c>
      <c r="D142" s="176">
        <f t="shared" ref="D142:D148" si="33">SUM(E142:M142)</f>
        <v>3595453.6799999997</v>
      </c>
      <c r="E142" s="175">
        <f t="shared" ref="E142:M142" si="34">E99</f>
        <v>1163609.68</v>
      </c>
      <c r="F142" s="175">
        <f t="shared" si="34"/>
        <v>27738</v>
      </c>
      <c r="G142" s="175">
        <f t="shared" si="34"/>
        <v>864960</v>
      </c>
      <c r="H142" s="175">
        <f t="shared" si="34"/>
        <v>550066</v>
      </c>
      <c r="I142" s="175">
        <f t="shared" si="34"/>
        <v>900760</v>
      </c>
      <c r="J142" s="175">
        <f t="shared" si="34"/>
        <v>33000</v>
      </c>
      <c r="K142" s="175">
        <f t="shared" si="34"/>
        <v>55320</v>
      </c>
      <c r="L142" s="175">
        <f t="shared" si="34"/>
        <v>0</v>
      </c>
      <c r="M142" s="175">
        <f t="shared" si="34"/>
        <v>0</v>
      </c>
    </row>
    <row r="143" spans="1:13" x14ac:dyDescent="0.6">
      <c r="A143" s="195"/>
      <c r="B143" s="174" t="s">
        <v>39</v>
      </c>
      <c r="C143" s="175">
        <f t="shared" si="27"/>
        <v>1584080</v>
      </c>
      <c r="D143" s="176">
        <f t="shared" si="33"/>
        <v>1120627.33</v>
      </c>
      <c r="E143" s="175">
        <f t="shared" ref="E143:M143" si="35">E100</f>
        <v>264745.90000000002</v>
      </c>
      <c r="F143" s="175">
        <f t="shared" si="35"/>
        <v>31000</v>
      </c>
      <c r="G143" s="175">
        <f t="shared" si="35"/>
        <v>308514.43000000005</v>
      </c>
      <c r="H143" s="175">
        <f t="shared" si="35"/>
        <v>14829</v>
      </c>
      <c r="I143" s="175">
        <f t="shared" si="35"/>
        <v>501538</v>
      </c>
      <c r="J143" s="175">
        <f t="shared" si="35"/>
        <v>0</v>
      </c>
      <c r="K143" s="175">
        <f t="shared" si="35"/>
        <v>0</v>
      </c>
      <c r="L143" s="175">
        <f t="shared" si="35"/>
        <v>0</v>
      </c>
      <c r="M143" s="175">
        <f t="shared" si="35"/>
        <v>0</v>
      </c>
    </row>
    <row r="144" spans="1:13" x14ac:dyDescent="0.6">
      <c r="A144" s="195"/>
      <c r="B144" s="174" t="s">
        <v>69</v>
      </c>
      <c r="C144" s="175">
        <f t="shared" si="27"/>
        <v>430720</v>
      </c>
      <c r="D144" s="176">
        <f t="shared" si="33"/>
        <v>395444.84</v>
      </c>
      <c r="E144" s="175">
        <f t="shared" ref="E144:M144" si="36">E101</f>
        <v>324488.67000000004</v>
      </c>
      <c r="F144" s="175">
        <f t="shared" si="36"/>
        <v>0</v>
      </c>
      <c r="G144" s="175">
        <f t="shared" si="36"/>
        <v>55548.17</v>
      </c>
      <c r="H144" s="175">
        <f t="shared" si="36"/>
        <v>0</v>
      </c>
      <c r="I144" s="175">
        <f t="shared" si="36"/>
        <v>15408</v>
      </c>
      <c r="J144" s="175">
        <f t="shared" si="36"/>
        <v>0</v>
      </c>
      <c r="K144" s="175">
        <f t="shared" si="36"/>
        <v>0</v>
      </c>
      <c r="L144" s="175">
        <f t="shared" si="36"/>
        <v>0</v>
      </c>
      <c r="M144" s="175">
        <f t="shared" si="36"/>
        <v>0</v>
      </c>
    </row>
    <row r="145" spans="1:13" x14ac:dyDescent="0.6">
      <c r="A145" s="195"/>
      <c r="B145" s="174" t="s">
        <v>86</v>
      </c>
      <c r="C145" s="175">
        <f t="shared" si="27"/>
        <v>425700</v>
      </c>
      <c r="D145" s="176">
        <f t="shared" si="33"/>
        <v>330170</v>
      </c>
      <c r="E145" s="175">
        <f t="shared" ref="E145:M145" si="37">E102</f>
        <v>140600</v>
      </c>
      <c r="F145" s="175">
        <f t="shared" si="37"/>
        <v>0</v>
      </c>
      <c r="G145" s="175">
        <f t="shared" si="37"/>
        <v>45370</v>
      </c>
      <c r="H145" s="175">
        <f t="shared" si="37"/>
        <v>0</v>
      </c>
      <c r="I145" s="175">
        <f t="shared" si="37"/>
        <v>144200</v>
      </c>
      <c r="J145" s="175">
        <f t="shared" si="37"/>
        <v>0</v>
      </c>
      <c r="K145" s="175">
        <f t="shared" si="37"/>
        <v>0</v>
      </c>
      <c r="L145" s="175">
        <f t="shared" si="37"/>
        <v>0</v>
      </c>
      <c r="M145" s="175">
        <f t="shared" si="37"/>
        <v>0</v>
      </c>
    </row>
    <row r="146" spans="1:13" x14ac:dyDescent="0.6">
      <c r="A146" s="195"/>
      <c r="B146" s="174" t="s">
        <v>87</v>
      </c>
      <c r="C146" s="175">
        <f t="shared" si="27"/>
        <v>1679330</v>
      </c>
      <c r="D146" s="176">
        <f t="shared" si="33"/>
        <v>1766000</v>
      </c>
      <c r="E146" s="175">
        <f t="shared" ref="E146:M146" si="38">E103</f>
        <v>0</v>
      </c>
      <c r="F146" s="175">
        <f t="shared" si="38"/>
        <v>0</v>
      </c>
      <c r="G146" s="175">
        <f t="shared" si="38"/>
        <v>0</v>
      </c>
      <c r="H146" s="175">
        <f t="shared" si="38"/>
        <v>0</v>
      </c>
      <c r="I146" s="175">
        <f t="shared" si="38"/>
        <v>1766000</v>
      </c>
      <c r="J146" s="175">
        <f t="shared" si="38"/>
        <v>0</v>
      </c>
      <c r="K146" s="175">
        <f t="shared" si="38"/>
        <v>0</v>
      </c>
      <c r="L146" s="175">
        <f t="shared" si="38"/>
        <v>0</v>
      </c>
      <c r="M146" s="175">
        <f t="shared" si="38"/>
        <v>0</v>
      </c>
    </row>
    <row r="147" spans="1:13" x14ac:dyDescent="0.6">
      <c r="A147" s="195"/>
      <c r="B147" s="174" t="s">
        <v>79</v>
      </c>
      <c r="C147" s="175">
        <f t="shared" si="27"/>
        <v>5000</v>
      </c>
      <c r="D147" s="176">
        <f t="shared" si="33"/>
        <v>0</v>
      </c>
      <c r="E147" s="175">
        <f t="shared" ref="E147:M147" si="39">E104</f>
        <v>0</v>
      </c>
      <c r="F147" s="175">
        <f t="shared" si="39"/>
        <v>0</v>
      </c>
      <c r="G147" s="175">
        <f t="shared" si="39"/>
        <v>0</v>
      </c>
      <c r="H147" s="175">
        <f t="shared" si="39"/>
        <v>0</v>
      </c>
      <c r="I147" s="175">
        <f t="shared" si="39"/>
        <v>0</v>
      </c>
      <c r="J147" s="175">
        <f t="shared" si="39"/>
        <v>0</v>
      </c>
      <c r="K147" s="175">
        <f t="shared" si="39"/>
        <v>0</v>
      </c>
      <c r="L147" s="175">
        <f t="shared" si="39"/>
        <v>0</v>
      </c>
      <c r="M147" s="175">
        <f t="shared" si="39"/>
        <v>0</v>
      </c>
    </row>
    <row r="148" spans="1:13" x14ac:dyDescent="0.6">
      <c r="A148" s="195"/>
      <c r="B148" s="174" t="s">
        <v>80</v>
      </c>
      <c r="C148" s="175">
        <f t="shared" si="27"/>
        <v>365000</v>
      </c>
      <c r="D148" s="184">
        <f t="shared" si="33"/>
        <v>358410.64</v>
      </c>
      <c r="E148" s="175">
        <f t="shared" ref="E148:M148" si="40">E105</f>
        <v>55000</v>
      </c>
      <c r="F148" s="175">
        <f t="shared" si="40"/>
        <v>0</v>
      </c>
      <c r="G148" s="175">
        <f t="shared" si="40"/>
        <v>233660</v>
      </c>
      <c r="H148" s="175">
        <f t="shared" si="40"/>
        <v>0</v>
      </c>
      <c r="I148" s="175">
        <f t="shared" si="40"/>
        <v>0</v>
      </c>
      <c r="J148" s="175">
        <f t="shared" si="40"/>
        <v>25000</v>
      </c>
      <c r="K148" s="175">
        <f t="shared" si="40"/>
        <v>44750.64</v>
      </c>
      <c r="L148" s="175">
        <f t="shared" si="40"/>
        <v>0</v>
      </c>
      <c r="M148" s="175">
        <f t="shared" si="40"/>
        <v>0</v>
      </c>
    </row>
    <row r="149" spans="1:13" ht="25.5" thickBot="1" x14ac:dyDescent="0.65">
      <c r="A149" s="185"/>
      <c r="B149" s="186" t="s">
        <v>5</v>
      </c>
      <c r="C149" s="187">
        <f>SUM(C138:C148)</f>
        <v>25067500</v>
      </c>
      <c r="D149" s="187">
        <f>SUM(D138:D148)</f>
        <v>23075621.199999999</v>
      </c>
      <c r="E149" s="187">
        <f t="shared" ref="E149:M149" si="41">SUM(E138:E148)</f>
        <v>8230196.25</v>
      </c>
      <c r="F149" s="187">
        <f t="shared" si="41"/>
        <v>58738</v>
      </c>
      <c r="G149" s="187">
        <f t="shared" si="41"/>
        <v>2309647.1</v>
      </c>
      <c r="H149" s="187">
        <f t="shared" si="41"/>
        <v>564895</v>
      </c>
      <c r="I149" s="187">
        <f t="shared" si="41"/>
        <v>4413186</v>
      </c>
      <c r="J149" s="187">
        <f t="shared" si="41"/>
        <v>343360</v>
      </c>
      <c r="K149" s="187">
        <f t="shared" si="41"/>
        <v>100070.64</v>
      </c>
      <c r="L149" s="187">
        <f t="shared" si="41"/>
        <v>0</v>
      </c>
      <c r="M149" s="187">
        <f t="shared" si="41"/>
        <v>7055528.21</v>
      </c>
    </row>
    <row r="150" spans="1:13" ht="25.5" thickTop="1" x14ac:dyDescent="0.6">
      <c r="A150" s="194" t="s">
        <v>72</v>
      </c>
      <c r="B150" s="170"/>
      <c r="C150" s="202"/>
      <c r="D150" s="202"/>
      <c r="E150" s="220"/>
      <c r="F150" s="221"/>
      <c r="G150" s="221"/>
      <c r="H150" s="221"/>
      <c r="I150" s="221"/>
      <c r="J150" s="221"/>
      <c r="K150" s="221"/>
      <c r="L150" s="221"/>
      <c r="M150" s="221"/>
    </row>
    <row r="151" spans="1:13" x14ac:dyDescent="0.6">
      <c r="A151" s="195"/>
      <c r="B151" s="174" t="s">
        <v>73</v>
      </c>
      <c r="C151" s="175">
        <f>C33</f>
        <v>151000</v>
      </c>
      <c r="D151" s="175">
        <f>D33</f>
        <v>345252.25</v>
      </c>
      <c r="E151" s="212"/>
      <c r="F151" s="198"/>
      <c r="G151" s="198"/>
      <c r="H151" s="198"/>
      <c r="I151" s="198"/>
      <c r="J151" s="198"/>
      <c r="K151" s="198"/>
      <c r="L151" s="198"/>
      <c r="M151" s="198"/>
    </row>
    <row r="152" spans="1:13" x14ac:dyDescent="0.6">
      <c r="A152" s="195"/>
      <c r="B152" s="174" t="s">
        <v>159</v>
      </c>
      <c r="C152" s="175">
        <f t="shared" ref="C152:D160" si="42">C34</f>
        <v>258500</v>
      </c>
      <c r="D152" s="175">
        <f t="shared" si="42"/>
        <v>522331.4</v>
      </c>
      <c r="E152" s="212">
        <f>D149+D30</f>
        <v>25249316.199999999</v>
      </c>
      <c r="F152" s="198"/>
      <c r="G152" s="198"/>
      <c r="H152" s="198"/>
      <c r="I152" s="198"/>
      <c r="J152" s="198"/>
      <c r="K152" s="198"/>
      <c r="L152" s="198"/>
      <c r="M152" s="198"/>
    </row>
    <row r="153" spans="1:13" x14ac:dyDescent="0.6">
      <c r="A153" s="195"/>
      <c r="B153" s="174" t="s">
        <v>81</v>
      </c>
      <c r="C153" s="175">
        <f t="shared" si="42"/>
        <v>100000</v>
      </c>
      <c r="D153" s="175">
        <f t="shared" si="42"/>
        <v>114077.03</v>
      </c>
      <c r="E153" s="212">
        <f>E152-[13]รวม!$T$299</f>
        <v>24951841.699999999</v>
      </c>
      <c r="F153" s="198"/>
      <c r="G153" s="198"/>
      <c r="H153" s="198"/>
      <c r="I153" s="198"/>
      <c r="J153" s="198"/>
      <c r="K153" s="198"/>
      <c r="L153" s="198"/>
      <c r="M153" s="198"/>
    </row>
    <row r="154" spans="1:13" x14ac:dyDescent="0.6">
      <c r="A154" s="195"/>
      <c r="B154" s="174" t="s">
        <v>82</v>
      </c>
      <c r="C154" s="175">
        <f t="shared" si="42"/>
        <v>0</v>
      </c>
      <c r="D154" s="175">
        <f t="shared" si="42"/>
        <v>0</v>
      </c>
      <c r="E154" s="212"/>
      <c r="F154" s="198"/>
      <c r="G154" s="198"/>
      <c r="H154" s="198"/>
      <c r="I154" s="198"/>
      <c r="J154" s="198"/>
      <c r="K154" s="198"/>
      <c r="L154" s="198"/>
      <c r="M154" s="198"/>
    </row>
    <row r="155" spans="1:13" x14ac:dyDescent="0.6">
      <c r="A155" s="195"/>
      <c r="B155" s="174" t="s">
        <v>74</v>
      </c>
      <c r="C155" s="175">
        <f t="shared" si="42"/>
        <v>5500</v>
      </c>
      <c r="D155" s="175">
        <f t="shared" si="42"/>
        <v>48351.519999999997</v>
      </c>
      <c r="E155" s="212"/>
      <c r="F155" s="198"/>
      <c r="G155" s="198"/>
      <c r="H155" s="198"/>
      <c r="I155" s="198"/>
      <c r="J155" s="198"/>
      <c r="K155" s="198"/>
      <c r="L155" s="198"/>
      <c r="M155" s="198"/>
    </row>
    <row r="156" spans="1:13" x14ac:dyDescent="0.6">
      <c r="A156" s="195"/>
      <c r="B156" s="174" t="s">
        <v>75</v>
      </c>
      <c r="C156" s="175">
        <f t="shared" si="42"/>
        <v>0</v>
      </c>
      <c r="D156" s="175">
        <f t="shared" si="42"/>
        <v>0</v>
      </c>
      <c r="E156" s="212"/>
      <c r="F156" s="198"/>
      <c r="G156" s="198"/>
      <c r="H156" s="198"/>
      <c r="I156" s="198"/>
      <c r="J156" s="198"/>
      <c r="K156" s="198"/>
      <c r="L156" s="198"/>
      <c r="M156" s="198"/>
    </row>
    <row r="157" spans="1:13" x14ac:dyDescent="0.6">
      <c r="A157" s="195"/>
      <c r="B157" s="174" t="s">
        <v>76</v>
      </c>
      <c r="C157" s="175">
        <f t="shared" si="42"/>
        <v>13485000</v>
      </c>
      <c r="D157" s="175">
        <f t="shared" si="42"/>
        <v>14527813.369999999</v>
      </c>
      <c r="E157" s="212"/>
      <c r="F157" s="198"/>
      <c r="G157" s="198"/>
      <c r="H157" s="198"/>
      <c r="I157" s="198"/>
      <c r="J157" s="198"/>
      <c r="K157" s="198"/>
      <c r="L157" s="198"/>
      <c r="M157" s="198"/>
    </row>
    <row r="158" spans="1:13" x14ac:dyDescent="0.6">
      <c r="A158" s="195"/>
      <c r="B158" s="174" t="s">
        <v>77</v>
      </c>
      <c r="C158" s="175">
        <f t="shared" si="42"/>
        <v>11067500</v>
      </c>
      <c r="D158" s="175">
        <f t="shared" si="42"/>
        <v>9682505</v>
      </c>
      <c r="E158" s="212"/>
      <c r="F158" s="198"/>
      <c r="G158" s="198"/>
      <c r="H158" s="198"/>
      <c r="I158" s="198"/>
      <c r="J158" s="198"/>
      <c r="K158" s="198"/>
      <c r="L158" s="198"/>
      <c r="M158" s="198"/>
    </row>
    <row r="159" spans="1:13" x14ac:dyDescent="0.6">
      <c r="A159" s="195"/>
      <c r="B159" s="174" t="s">
        <v>179</v>
      </c>
      <c r="C159" s="175">
        <f t="shared" si="42"/>
        <v>0</v>
      </c>
      <c r="D159" s="175">
        <f t="shared" si="42"/>
        <v>0</v>
      </c>
      <c r="E159" s="212"/>
      <c r="F159" s="198"/>
      <c r="G159" s="198"/>
      <c r="H159" s="198"/>
      <c r="I159" s="198"/>
      <c r="J159" s="198"/>
      <c r="K159" s="198"/>
      <c r="L159" s="198"/>
      <c r="M159" s="198"/>
    </row>
    <row r="160" spans="1:13" x14ac:dyDescent="0.6">
      <c r="A160" s="195"/>
      <c r="B160" s="174" t="s">
        <v>78</v>
      </c>
      <c r="C160" s="175">
        <f t="shared" si="42"/>
        <v>0</v>
      </c>
      <c r="D160" s="175">
        <f t="shared" si="42"/>
        <v>2173695</v>
      </c>
      <c r="E160" s="212"/>
      <c r="F160" s="198"/>
      <c r="G160" s="198"/>
      <c r="H160" s="198"/>
      <c r="I160" s="198"/>
      <c r="J160" s="198"/>
      <c r="K160" s="198"/>
      <c r="L160" s="198"/>
      <c r="M160" s="198"/>
    </row>
    <row r="161" spans="1:13" ht="25.5" thickBot="1" x14ac:dyDescent="0.65">
      <c r="A161" s="185"/>
      <c r="B161" s="186" t="s">
        <v>83</v>
      </c>
      <c r="C161" s="213">
        <f>SUM(C151:C160)</f>
        <v>25067500</v>
      </c>
      <c r="D161" s="213">
        <f>SUM(D151:D160)</f>
        <v>27414025.57</v>
      </c>
      <c r="E161" s="212"/>
      <c r="F161" s="198"/>
      <c r="G161" s="198"/>
      <c r="H161" s="198"/>
      <c r="I161" s="198"/>
      <c r="J161" s="198"/>
      <c r="K161" s="198"/>
      <c r="L161" s="198"/>
      <c r="M161" s="198"/>
    </row>
    <row r="162" spans="1:13" ht="26.25" thickTop="1" thickBot="1" x14ac:dyDescent="0.65">
      <c r="B162" s="223" t="s">
        <v>84</v>
      </c>
      <c r="D162" s="224">
        <f>D161-D149-D160</f>
        <v>2164709.370000001</v>
      </c>
    </row>
    <row r="163" spans="1:13" ht="25.5" thickTop="1" x14ac:dyDescent="0.6"/>
  </sheetData>
  <mergeCells count="16">
    <mergeCell ref="A134:M134"/>
    <mergeCell ref="A135:M135"/>
    <mergeCell ref="A136:B136"/>
    <mergeCell ref="A1:M1"/>
    <mergeCell ref="A2:M2"/>
    <mergeCell ref="A3:M3"/>
    <mergeCell ref="A4:B4"/>
    <mergeCell ref="A47:M47"/>
    <mergeCell ref="A48:M48"/>
    <mergeCell ref="A49:M49"/>
    <mergeCell ref="A50:B50"/>
    <mergeCell ref="A90:M90"/>
    <mergeCell ref="A91:M91"/>
    <mergeCell ref="A92:M92"/>
    <mergeCell ref="A93:B93"/>
    <mergeCell ref="A133:M133"/>
  </mergeCells>
  <pageMargins left="0.46" right="0.3" top="0.7" bottom="0.15" header="0.17" footer="0.14000000000000001"/>
  <pageSetup paperSize="9" scale="48" orientation="landscape" horizontalDpi="300" verticalDpi="300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topLeftCell="A4" zoomScale="80" zoomScaleNormal="80" zoomScaleSheetLayoutView="80" workbookViewId="0">
      <selection activeCell="C20" sqref="C20"/>
    </sheetView>
  </sheetViews>
  <sheetFormatPr defaultRowHeight="24.75" x14ac:dyDescent="0.6"/>
  <cols>
    <col min="1" max="1" width="15.140625" style="40" customWidth="1"/>
    <col min="2" max="2" width="32.7109375" style="40" customWidth="1"/>
    <col min="3" max="3" width="18.28515625" style="81" customWidth="1"/>
    <col min="4" max="4" width="18.85546875" style="40" customWidth="1"/>
    <col min="5" max="5" width="17" style="40" customWidth="1"/>
    <col min="6" max="6" width="16.7109375" style="40" customWidth="1"/>
    <col min="7" max="7" width="15.7109375" style="40" customWidth="1"/>
    <col min="8" max="8" width="17" style="40" customWidth="1"/>
    <col min="9" max="9" width="16" style="40" customWidth="1"/>
    <col min="10" max="10" width="15.5703125" style="40" customWidth="1"/>
    <col min="11" max="11" width="12.7109375" style="40" customWidth="1"/>
    <col min="12" max="12" width="16.42578125" style="40" bestFit="1" customWidth="1"/>
    <col min="13" max="13" width="18.140625" style="40" bestFit="1" customWidth="1"/>
    <col min="14" max="14" width="18.85546875" style="40" bestFit="1" customWidth="1"/>
    <col min="15" max="16" width="16.85546875" style="40" bestFit="1" customWidth="1"/>
    <col min="17" max="16384" width="9.140625" style="40"/>
  </cols>
  <sheetData>
    <row r="1" spans="1:16" s="165" customFormat="1" ht="27.75" x14ac:dyDescent="0.5">
      <c r="A1" s="363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6" s="165" customFormat="1" ht="27.75" x14ac:dyDescent="0.5">
      <c r="A2" s="363" t="s">
        <v>88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</row>
    <row r="3" spans="1:16" s="165" customFormat="1" ht="27.75" x14ac:dyDescent="0.5">
      <c r="A3" s="367" t="s">
        <v>399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</row>
    <row r="4" spans="1:16" s="193" customFormat="1" ht="74.25" x14ac:dyDescent="0.5">
      <c r="A4" s="226" t="s">
        <v>250</v>
      </c>
      <c r="B4" s="226" t="s">
        <v>233</v>
      </c>
      <c r="C4" s="168" t="s">
        <v>230</v>
      </c>
      <c r="D4" s="168" t="s">
        <v>57</v>
      </c>
      <c r="E4" s="168" t="s">
        <v>61</v>
      </c>
      <c r="F4" s="168" t="s">
        <v>58</v>
      </c>
      <c r="G4" s="168" t="s">
        <v>62</v>
      </c>
      <c r="H4" s="168" t="s">
        <v>59</v>
      </c>
      <c r="I4" s="168" t="s">
        <v>63</v>
      </c>
      <c r="J4" s="168" t="s">
        <v>64</v>
      </c>
      <c r="K4" s="168" t="s">
        <v>65</v>
      </c>
      <c r="L4" s="168" t="s">
        <v>54</v>
      </c>
      <c r="M4" s="168" t="s">
        <v>5</v>
      </c>
      <c r="N4" s="227"/>
      <c r="O4" s="227"/>
      <c r="P4" s="227"/>
    </row>
    <row r="5" spans="1:16" s="165" customFormat="1" x14ac:dyDescent="0.6">
      <c r="A5" s="169" t="s">
        <v>66</v>
      </c>
      <c r="B5" s="170"/>
      <c r="C5" s="171"/>
      <c r="D5" s="171"/>
      <c r="E5" s="172"/>
      <c r="F5" s="172"/>
      <c r="G5" s="172"/>
      <c r="H5" s="172"/>
      <c r="I5" s="172"/>
      <c r="J5" s="172"/>
      <c r="K5" s="172"/>
      <c r="L5" s="228"/>
      <c r="M5" s="171"/>
      <c r="N5" s="229"/>
      <c r="O5" s="229"/>
      <c r="P5" s="229"/>
    </row>
    <row r="6" spans="1:16" s="165" customFormat="1" x14ac:dyDescent="0.6">
      <c r="A6" s="173" t="s">
        <v>251</v>
      </c>
      <c r="B6" s="174" t="s">
        <v>67</v>
      </c>
      <c r="C6" s="230" t="s">
        <v>256</v>
      </c>
      <c r="D6" s="176">
        <f>แยกแผนงาน!G5</f>
        <v>2508720</v>
      </c>
      <c r="E6" s="177">
        <f>แยกแผนงาน!G36</f>
        <v>0</v>
      </c>
      <c r="F6" s="177">
        <f>แยกแผนงาน!H65</f>
        <v>0</v>
      </c>
      <c r="G6" s="177">
        <f>แยกแผนงาน!H94</f>
        <v>0</v>
      </c>
      <c r="H6" s="177">
        <f>แยกแผนงาน!I123</f>
        <v>0</v>
      </c>
      <c r="I6" s="177">
        <f>แยกแผนงาน!F152</f>
        <v>0</v>
      </c>
      <c r="J6" s="177">
        <f>แยกแผนงาน!H181</f>
        <v>0</v>
      </c>
      <c r="K6" s="177">
        <f>แยกแผนงาน!F210</f>
        <v>0</v>
      </c>
      <c r="L6" s="196">
        <v>0</v>
      </c>
      <c r="M6" s="176">
        <f t="shared" ref="M6:M16" si="0">SUM(D6:L6)</f>
        <v>2508720</v>
      </c>
      <c r="N6" s="197"/>
      <c r="O6" s="197"/>
      <c r="P6" s="231"/>
    </row>
    <row r="7" spans="1:16" s="165" customFormat="1" x14ac:dyDescent="0.6">
      <c r="A7" s="173"/>
      <c r="B7" s="174" t="s">
        <v>68</v>
      </c>
      <c r="C7" s="230" t="s">
        <v>256</v>
      </c>
      <c r="D7" s="176">
        <f>แยกแผนงาน!G6</f>
        <v>3744120</v>
      </c>
      <c r="E7" s="177">
        <f>แยกแผนงาน!G37</f>
        <v>0</v>
      </c>
      <c r="F7" s="177">
        <f>แยกแผนงาน!H66</f>
        <v>799194.5</v>
      </c>
      <c r="G7" s="177">
        <f>แยกแผนงาน!H95</f>
        <v>0</v>
      </c>
      <c r="H7" s="177">
        <f>แยกแผนงาน!I124</f>
        <v>991680</v>
      </c>
      <c r="I7" s="177">
        <f>แยกแผนงาน!F153</f>
        <v>285360</v>
      </c>
      <c r="J7" s="177">
        <f>แยกแผนงาน!H182</f>
        <v>0</v>
      </c>
      <c r="K7" s="177">
        <f>แยกแผนงาน!F211</f>
        <v>0</v>
      </c>
      <c r="L7" s="196">
        <v>0</v>
      </c>
      <c r="M7" s="176">
        <f t="shared" si="0"/>
        <v>5820354.5</v>
      </c>
      <c r="N7" s="197"/>
      <c r="O7" s="197"/>
      <c r="P7" s="231"/>
    </row>
    <row r="8" spans="1:16" s="165" customFormat="1" x14ac:dyDescent="0.6">
      <c r="A8" s="173" t="s">
        <v>252</v>
      </c>
      <c r="B8" s="174" t="s">
        <v>40</v>
      </c>
      <c r="C8" s="230" t="s">
        <v>256</v>
      </c>
      <c r="D8" s="176">
        <f>แยกแผนงาน!G7</f>
        <v>28912</v>
      </c>
      <c r="E8" s="177">
        <f>แยกแผนงาน!G38</f>
        <v>0</v>
      </c>
      <c r="F8" s="177">
        <f>แยกแผนงาน!H67</f>
        <v>2400</v>
      </c>
      <c r="G8" s="177">
        <f>แยกแผนงาน!H96</f>
        <v>0</v>
      </c>
      <c r="H8" s="177">
        <f>แยกแผนงาน!I125</f>
        <v>93600</v>
      </c>
      <c r="I8" s="177">
        <f>แยกแผนงาน!F154</f>
        <v>0</v>
      </c>
      <c r="J8" s="177">
        <f>แยกแผนงาน!H183</f>
        <v>0</v>
      </c>
      <c r="K8" s="177">
        <f>แยกแผนงาน!F212</f>
        <v>0</v>
      </c>
      <c r="L8" s="196">
        <v>0</v>
      </c>
      <c r="M8" s="176">
        <f t="shared" si="0"/>
        <v>124912</v>
      </c>
      <c r="N8" s="197"/>
      <c r="O8" s="197"/>
      <c r="P8" s="231"/>
    </row>
    <row r="9" spans="1:16" s="165" customFormat="1" x14ac:dyDescent="0.6">
      <c r="A9" s="173"/>
      <c r="B9" s="174" t="s">
        <v>47</v>
      </c>
      <c r="C9" s="230" t="s">
        <v>256</v>
      </c>
      <c r="D9" s="176">
        <f>แยกแผนงาน!G8</f>
        <v>1163609.68</v>
      </c>
      <c r="E9" s="177">
        <f>แยกแผนงาน!G39</f>
        <v>27738</v>
      </c>
      <c r="F9" s="177">
        <f>แยกแผนงาน!H68</f>
        <v>864960</v>
      </c>
      <c r="G9" s="177">
        <f>แยกแผนงาน!H97</f>
        <v>550066</v>
      </c>
      <c r="H9" s="177">
        <f>แยกแผนงาน!I126</f>
        <v>900760</v>
      </c>
      <c r="I9" s="177">
        <f>แยกแผนงาน!F155</f>
        <v>33000</v>
      </c>
      <c r="J9" s="177">
        <f>แยกแผนงาน!H184</f>
        <v>55320</v>
      </c>
      <c r="K9" s="177">
        <f>แยกแผนงาน!F213</f>
        <v>0</v>
      </c>
      <c r="L9" s="196">
        <v>0</v>
      </c>
      <c r="M9" s="176">
        <f t="shared" si="0"/>
        <v>3595453.6799999997</v>
      </c>
      <c r="N9" s="197"/>
      <c r="O9" s="197"/>
      <c r="P9" s="231"/>
    </row>
    <row r="10" spans="1:16" s="165" customFormat="1" x14ac:dyDescent="0.6">
      <c r="A10" s="173"/>
      <c r="B10" s="174" t="s">
        <v>39</v>
      </c>
      <c r="C10" s="230" t="s">
        <v>256</v>
      </c>
      <c r="D10" s="176">
        <f>แยกแผนงาน!G9</f>
        <v>264745.90000000002</v>
      </c>
      <c r="E10" s="177">
        <f>แยกแผนงาน!G40</f>
        <v>31000</v>
      </c>
      <c r="F10" s="177">
        <f>แยกแผนงาน!H69</f>
        <v>308514.43000000005</v>
      </c>
      <c r="G10" s="177">
        <f>แยกแผนงาน!H98</f>
        <v>14829</v>
      </c>
      <c r="H10" s="177">
        <f>แยกแผนงาน!I127</f>
        <v>501538</v>
      </c>
      <c r="I10" s="177">
        <f>แยกแผนงาน!F156</f>
        <v>0</v>
      </c>
      <c r="J10" s="177">
        <f>แยกแผนงาน!H185</f>
        <v>0</v>
      </c>
      <c r="K10" s="177">
        <f>แยกแผนงาน!F214</f>
        <v>0</v>
      </c>
      <c r="L10" s="196">
        <v>0</v>
      </c>
      <c r="M10" s="176">
        <f t="shared" si="0"/>
        <v>1120627.33</v>
      </c>
      <c r="N10" s="197"/>
      <c r="O10" s="197"/>
      <c r="P10" s="231"/>
    </row>
    <row r="11" spans="1:16" s="165" customFormat="1" x14ac:dyDescent="0.6">
      <c r="A11" s="173"/>
      <c r="B11" s="174" t="s">
        <v>69</v>
      </c>
      <c r="C11" s="230" t="s">
        <v>256</v>
      </c>
      <c r="D11" s="176">
        <f>แยกแผนงาน!G10</f>
        <v>324488.67000000004</v>
      </c>
      <c r="E11" s="177">
        <f>แยกแผนงาน!G41</f>
        <v>0</v>
      </c>
      <c r="F11" s="177">
        <f>แยกแผนงาน!H70</f>
        <v>55548.17</v>
      </c>
      <c r="G11" s="177">
        <f>แยกแผนงาน!H99</f>
        <v>0</v>
      </c>
      <c r="H11" s="177">
        <f>แยกแผนงาน!I128</f>
        <v>15408</v>
      </c>
      <c r="I11" s="177">
        <f>แยกแผนงาน!F157</f>
        <v>0</v>
      </c>
      <c r="J11" s="177">
        <f>แยกแผนงาน!H186</f>
        <v>0</v>
      </c>
      <c r="K11" s="177">
        <f>แยกแผนงาน!F215</f>
        <v>0</v>
      </c>
      <c r="L11" s="196">
        <v>0</v>
      </c>
      <c r="M11" s="176">
        <f t="shared" si="0"/>
        <v>395444.84</v>
      </c>
      <c r="N11" s="197"/>
      <c r="O11" s="197"/>
      <c r="P11" s="231"/>
    </row>
    <row r="12" spans="1:16" s="165" customFormat="1" x14ac:dyDescent="0.6">
      <c r="A12" s="173" t="s">
        <v>253</v>
      </c>
      <c r="B12" s="174" t="s">
        <v>71</v>
      </c>
      <c r="C12" s="230" t="s">
        <v>256</v>
      </c>
      <c r="D12" s="176">
        <f>แยกแผนงาน!G11</f>
        <v>140600</v>
      </c>
      <c r="E12" s="177">
        <f>แยกแผนงาน!G42</f>
        <v>0</v>
      </c>
      <c r="F12" s="177">
        <f>แยกแผนงาน!H71</f>
        <v>45370</v>
      </c>
      <c r="G12" s="177">
        <f>แยกแผนงาน!H100</f>
        <v>0</v>
      </c>
      <c r="H12" s="177">
        <f>แยกแผนงาน!I129</f>
        <v>144200</v>
      </c>
      <c r="I12" s="177">
        <f>แยกแผนงาน!F158</f>
        <v>0</v>
      </c>
      <c r="J12" s="177">
        <f>แยกแผนงาน!H187</f>
        <v>0</v>
      </c>
      <c r="K12" s="177">
        <f>แยกแผนงาน!F216</f>
        <v>0</v>
      </c>
      <c r="L12" s="196">
        <v>0</v>
      </c>
      <c r="M12" s="176">
        <f t="shared" si="0"/>
        <v>330170</v>
      </c>
      <c r="N12" s="197"/>
      <c r="O12" s="197"/>
      <c r="P12" s="231"/>
    </row>
    <row r="13" spans="1:16" s="165" customFormat="1" x14ac:dyDescent="0.6">
      <c r="A13" s="173"/>
      <c r="B13" s="174" t="s">
        <v>70</v>
      </c>
      <c r="C13" s="230" t="s">
        <v>256</v>
      </c>
      <c r="D13" s="176">
        <f>แยกแผนงาน!G12</f>
        <v>0</v>
      </c>
      <c r="E13" s="177">
        <f>แยกแผนงาน!G43</f>
        <v>0</v>
      </c>
      <c r="F13" s="177">
        <f>แยกแผนงาน!H72</f>
        <v>0</v>
      </c>
      <c r="G13" s="177">
        <f>แยกแผนงาน!H101</f>
        <v>0</v>
      </c>
      <c r="H13" s="177">
        <f>แยกแผนงาน!I130</f>
        <v>1566000</v>
      </c>
      <c r="I13" s="177">
        <f>แยกแผนงาน!F159</f>
        <v>0</v>
      </c>
      <c r="J13" s="177">
        <f>แยกแผนงาน!H188</f>
        <v>0</v>
      </c>
      <c r="K13" s="177">
        <f>แยกแผนงาน!F217</f>
        <v>0</v>
      </c>
      <c r="L13" s="196">
        <v>0</v>
      </c>
      <c r="M13" s="176">
        <f t="shared" si="0"/>
        <v>1566000</v>
      </c>
      <c r="N13" s="197"/>
      <c r="O13" s="197"/>
      <c r="P13" s="231"/>
    </row>
    <row r="14" spans="1:16" s="165" customFormat="1" x14ac:dyDescent="0.6">
      <c r="A14" s="173" t="s">
        <v>254</v>
      </c>
      <c r="B14" s="174" t="s">
        <v>79</v>
      </c>
      <c r="C14" s="230" t="s">
        <v>256</v>
      </c>
      <c r="D14" s="176">
        <f>แยกแผนงาน!G13</f>
        <v>0</v>
      </c>
      <c r="E14" s="177">
        <f>แยกแผนงาน!G44</f>
        <v>0</v>
      </c>
      <c r="F14" s="177">
        <f>แยกแผนงาน!H73</f>
        <v>0</v>
      </c>
      <c r="G14" s="177">
        <f>แยกแผนงาน!H102</f>
        <v>0</v>
      </c>
      <c r="H14" s="177">
        <f>แยกแผนงาน!I131</f>
        <v>0</v>
      </c>
      <c r="I14" s="177">
        <f>แยกแผนงาน!F160</f>
        <v>0</v>
      </c>
      <c r="J14" s="177">
        <f>แยกแผนงาน!H189</f>
        <v>0</v>
      </c>
      <c r="K14" s="177">
        <f>แยกแผนงาน!F218</f>
        <v>0</v>
      </c>
      <c r="L14" s="196">
        <v>0</v>
      </c>
      <c r="M14" s="176">
        <f t="shared" si="0"/>
        <v>0</v>
      </c>
      <c r="N14" s="197"/>
      <c r="O14" s="197"/>
      <c r="P14" s="231"/>
    </row>
    <row r="15" spans="1:16" s="165" customFormat="1" x14ac:dyDescent="0.6">
      <c r="A15" s="173" t="s">
        <v>255</v>
      </c>
      <c r="B15" s="174" t="s">
        <v>80</v>
      </c>
      <c r="C15" s="230" t="s">
        <v>256</v>
      </c>
      <c r="D15" s="176">
        <f>แยกแผนงาน!G14</f>
        <v>55000</v>
      </c>
      <c r="E15" s="177">
        <f>แยกแผนงาน!G45</f>
        <v>0</v>
      </c>
      <c r="F15" s="177">
        <f>แยกแผนงาน!H74</f>
        <v>233660</v>
      </c>
      <c r="G15" s="177">
        <f>แยกแผนงาน!H103</f>
        <v>0</v>
      </c>
      <c r="H15" s="177">
        <f>แยกแผนงาน!I132</f>
        <v>0</v>
      </c>
      <c r="I15" s="177">
        <f>แยกแผนงาน!F161</f>
        <v>25000</v>
      </c>
      <c r="J15" s="177">
        <f>แยกแผนงาน!H190</f>
        <v>44750.64</v>
      </c>
      <c r="K15" s="177">
        <f>แยกแผนงาน!F219</f>
        <v>0</v>
      </c>
      <c r="L15" s="196">
        <v>0</v>
      </c>
      <c r="M15" s="176">
        <f t="shared" si="0"/>
        <v>358410.64</v>
      </c>
      <c r="N15" s="197"/>
      <c r="O15" s="197"/>
      <c r="P15" s="231"/>
    </row>
    <row r="16" spans="1:16" s="165" customFormat="1" x14ac:dyDescent="0.6">
      <c r="A16" s="182" t="s">
        <v>54</v>
      </c>
      <c r="B16" s="182" t="s">
        <v>54</v>
      </c>
      <c r="C16" s="230" t="s">
        <v>256</v>
      </c>
      <c r="D16" s="176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96">
        <f>แยกแผนงาน!D239</f>
        <v>7055528.21</v>
      </c>
      <c r="M16" s="175">
        <f t="shared" si="0"/>
        <v>7055528.21</v>
      </c>
      <c r="N16" s="197"/>
      <c r="O16" s="197"/>
      <c r="P16" s="197"/>
    </row>
    <row r="17" spans="1:16" s="165" customFormat="1" ht="24" customHeight="1" thickBot="1" x14ac:dyDescent="0.65">
      <c r="A17" s="364" t="s">
        <v>5</v>
      </c>
      <c r="B17" s="365"/>
      <c r="C17" s="366"/>
      <c r="D17" s="187">
        <f t="shared" ref="D17:K17" si="1">SUM(D6:D15)</f>
        <v>8230196.25</v>
      </c>
      <c r="E17" s="187">
        <f t="shared" si="1"/>
        <v>58738</v>
      </c>
      <c r="F17" s="187">
        <f t="shared" si="1"/>
        <v>2309647.1</v>
      </c>
      <c r="G17" s="187">
        <f t="shared" si="1"/>
        <v>564895</v>
      </c>
      <c r="H17" s="187">
        <f t="shared" si="1"/>
        <v>4213186</v>
      </c>
      <c r="I17" s="187">
        <f t="shared" si="1"/>
        <v>343360</v>
      </c>
      <c r="J17" s="187">
        <f t="shared" si="1"/>
        <v>100070.64</v>
      </c>
      <c r="K17" s="187">
        <f t="shared" si="1"/>
        <v>0</v>
      </c>
      <c r="L17" s="187">
        <f>SUM(L6:L16)</f>
        <v>7055528.21</v>
      </c>
      <c r="M17" s="187">
        <f>SUM(M6:M16)</f>
        <v>22875621.199999999</v>
      </c>
      <c r="N17" s="197">
        <f>M17-[14]รวม!$T$116</f>
        <v>6557538.0799999982</v>
      </c>
      <c r="O17" s="197"/>
      <c r="P17" s="197"/>
    </row>
    <row r="18" spans="1:16" s="165" customFormat="1" ht="25.5" thickTop="1" x14ac:dyDescent="0.6">
      <c r="A18" s="188"/>
      <c r="B18" s="189"/>
      <c r="C18" s="190"/>
      <c r="D18" s="190">
        <f>D17-แยกแผนงาน!G15</f>
        <v>0</v>
      </c>
      <c r="E18" s="190">
        <f>E17-แยกแผนงาน!G46</f>
        <v>0</v>
      </c>
      <c r="F18" s="190">
        <f>F17-แยกแผนงาน!H75</f>
        <v>0</v>
      </c>
      <c r="G18" s="190">
        <f>G17-แยกแผนงาน!H104</f>
        <v>0</v>
      </c>
      <c r="H18" s="190">
        <f>H17-แยกแผนงาน!I133</f>
        <v>0</v>
      </c>
      <c r="I18" s="190">
        <f>I17-แยกแผนงาน!F162</f>
        <v>0</v>
      </c>
      <c r="J18" s="190">
        <f>J17-แยกแผนงาน!H191</f>
        <v>0</v>
      </c>
      <c r="K18" s="190">
        <f>K17-แยกแผนงาน!F220</f>
        <v>0</v>
      </c>
      <c r="L18" s="190">
        <f>L17-แยกแผนงาน!E250</f>
        <v>0</v>
      </c>
      <c r="M18" s="190"/>
    </row>
    <row r="19" spans="1:16" s="165" customFormat="1" x14ac:dyDescent="0.6">
      <c r="A19" s="188"/>
      <c r="B19" s="232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</row>
    <row r="20" spans="1:16" s="165" customFormat="1" x14ac:dyDescent="0.6">
      <c r="A20" s="188"/>
      <c r="B20" s="189"/>
      <c r="C20" s="233">
        <f>13480000-แผนงานรวม!C17</f>
        <v>13480000</v>
      </c>
      <c r="D20" s="190"/>
      <c r="E20" s="190"/>
      <c r="F20" s="190"/>
      <c r="G20" s="190"/>
      <c r="H20" s="190"/>
      <c r="I20" s="190"/>
      <c r="J20" s="190"/>
      <c r="K20" s="190"/>
      <c r="L20" s="190"/>
      <c r="M20" s="190"/>
    </row>
    <row r="21" spans="1:16" s="165" customFormat="1" x14ac:dyDescent="0.6">
      <c r="A21" s="188"/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</row>
    <row r="22" spans="1:16" s="165" customFormat="1" x14ac:dyDescent="0.6">
      <c r="A22" s="188"/>
      <c r="B22" s="189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</row>
    <row r="23" spans="1:16" s="165" customFormat="1" x14ac:dyDescent="0.6">
      <c r="A23" s="188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</row>
    <row r="24" spans="1:16" s="165" customFormat="1" x14ac:dyDescent="0.6">
      <c r="A24" s="188"/>
      <c r="B24" s="189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</row>
    <row r="25" spans="1:16" s="165" customFormat="1" x14ac:dyDescent="0.6">
      <c r="A25" s="188"/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</row>
    <row r="26" spans="1:16" s="165" customFormat="1" x14ac:dyDescent="0.6">
      <c r="A26" s="188"/>
      <c r="B26" s="189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</row>
    <row r="27" spans="1:16" s="165" customFormat="1" x14ac:dyDescent="0.6">
      <c r="A27" s="188"/>
      <c r="B27" s="189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</row>
    <row r="28" spans="1:16" s="165" customFormat="1" x14ac:dyDescent="0.6">
      <c r="A28" s="188"/>
      <c r="B28" s="189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</row>
    <row r="29" spans="1:16" s="165" customFormat="1" x14ac:dyDescent="0.6">
      <c r="A29" s="188"/>
      <c r="B29" s="189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</row>
    <row r="30" spans="1:16" s="165" customFormat="1" x14ac:dyDescent="0.6">
      <c r="A30" s="188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</row>
    <row r="31" spans="1:16" s="165" customFormat="1" x14ac:dyDescent="0.6">
      <c r="A31" s="188"/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6" s="165" customFormat="1" x14ac:dyDescent="0.6">
      <c r="A32" s="188"/>
      <c r="B32" s="189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</row>
    <row r="33" spans="1:13" s="165" customFormat="1" x14ac:dyDescent="0.6">
      <c r="A33" s="188"/>
      <c r="B33" s="189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1:13" s="165" customFormat="1" x14ac:dyDescent="0.6">
      <c r="A34" s="188"/>
      <c r="B34" s="189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</row>
    <row r="35" spans="1:13" s="165" customFormat="1" x14ac:dyDescent="0.6">
      <c r="A35" s="188"/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</row>
    <row r="36" spans="1:13" s="165" customFormat="1" x14ac:dyDescent="0.6">
      <c r="A36" s="188"/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</row>
  </sheetData>
  <mergeCells count="4">
    <mergeCell ref="A17:C17"/>
    <mergeCell ref="A1:M1"/>
    <mergeCell ref="A2:M2"/>
    <mergeCell ref="A3:M3"/>
  </mergeCells>
  <pageMargins left="0.2" right="0.13" top="0.9" bottom="0.21" header="0.23" footer="0.15"/>
  <pageSetup paperSize="9" scale="66" orientation="landscape" horizontalDpi="300" verticalDpi="300" r:id="rId1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view="pageBreakPreview" topLeftCell="A7" zoomScale="90" zoomScaleNormal="80" zoomScaleSheetLayoutView="90" workbookViewId="0">
      <selection activeCell="G11" sqref="G11"/>
    </sheetView>
  </sheetViews>
  <sheetFormatPr defaultRowHeight="24.75" x14ac:dyDescent="0.6"/>
  <cols>
    <col min="1" max="1" width="15.140625" style="40" customWidth="1"/>
    <col min="2" max="2" width="32.7109375" style="40" customWidth="1"/>
    <col min="3" max="3" width="18.28515625" style="81" customWidth="1"/>
    <col min="4" max="4" width="18.85546875" style="40" customWidth="1"/>
    <col min="5" max="5" width="17" style="40" customWidth="1"/>
    <col min="6" max="6" width="16.7109375" style="40" customWidth="1"/>
    <col min="7" max="7" width="19.140625" style="40" customWidth="1"/>
    <col min="8" max="8" width="17" style="40" customWidth="1"/>
    <col min="9" max="9" width="17.140625" style="40" customWidth="1"/>
    <col min="10" max="10" width="15.5703125" style="40" customWidth="1"/>
    <col min="11" max="11" width="14" style="40" customWidth="1"/>
    <col min="12" max="12" width="15.42578125" style="40" customWidth="1"/>
    <col min="13" max="13" width="18.85546875" style="40" bestFit="1" customWidth="1"/>
    <col min="14" max="15" width="16.85546875" style="40" bestFit="1" customWidth="1"/>
    <col min="16" max="16384" width="9.140625" style="40"/>
  </cols>
  <sheetData>
    <row r="1" spans="1:15" ht="27.75" x14ac:dyDescent="0.6">
      <c r="A1" s="363" t="s">
        <v>0</v>
      </c>
      <c r="B1" s="363"/>
      <c r="C1" s="363"/>
      <c r="D1" s="363"/>
      <c r="E1" s="363"/>
      <c r="F1" s="363"/>
      <c r="G1" s="363"/>
      <c r="H1" s="225"/>
      <c r="I1" s="225"/>
      <c r="J1" s="225"/>
      <c r="K1" s="225"/>
      <c r="L1" s="225"/>
      <c r="M1" s="225"/>
    </row>
    <row r="2" spans="1:15" ht="27.75" x14ac:dyDescent="0.6">
      <c r="A2" s="363" t="s">
        <v>89</v>
      </c>
      <c r="B2" s="363"/>
      <c r="C2" s="363"/>
      <c r="D2" s="363"/>
      <c r="E2" s="363"/>
      <c r="F2" s="363"/>
      <c r="G2" s="363"/>
      <c r="H2" s="225"/>
      <c r="I2" s="225"/>
      <c r="J2" s="225"/>
      <c r="K2" s="225"/>
      <c r="L2" s="225"/>
      <c r="M2" s="225"/>
    </row>
    <row r="3" spans="1:15" ht="27.75" x14ac:dyDescent="0.6">
      <c r="A3" s="367" t="s">
        <v>399</v>
      </c>
      <c r="B3" s="367"/>
      <c r="C3" s="367"/>
      <c r="D3" s="367"/>
      <c r="E3" s="367"/>
      <c r="F3" s="367"/>
      <c r="G3" s="367"/>
      <c r="H3" s="225"/>
      <c r="I3" s="225"/>
      <c r="J3" s="225"/>
      <c r="K3" s="225"/>
      <c r="L3" s="225"/>
      <c r="M3" s="225"/>
    </row>
    <row r="4" spans="1:15" ht="49.5" x14ac:dyDescent="0.6">
      <c r="A4" s="166" t="s">
        <v>250</v>
      </c>
      <c r="B4" s="167" t="s">
        <v>233</v>
      </c>
      <c r="C4" s="168" t="s">
        <v>230</v>
      </c>
      <c r="D4" s="168" t="s">
        <v>48</v>
      </c>
      <c r="E4" s="168" t="s">
        <v>90</v>
      </c>
      <c r="F4" s="168" t="s">
        <v>49</v>
      </c>
      <c r="G4" s="168" t="s">
        <v>5</v>
      </c>
      <c r="J4" s="236"/>
      <c r="K4" s="236"/>
      <c r="L4" s="236"/>
      <c r="M4" s="237" t="s">
        <v>56</v>
      </c>
      <c r="N4" s="237" t="s">
        <v>37</v>
      </c>
    </row>
    <row r="5" spans="1:15" x14ac:dyDescent="0.6">
      <c r="A5" s="173" t="s">
        <v>251</v>
      </c>
      <c r="B5" s="174" t="s">
        <v>67</v>
      </c>
      <c r="C5" s="230" t="s">
        <v>256</v>
      </c>
      <c r="D5" s="176">
        <f>[13]รวม!$C$22</f>
        <v>2508720</v>
      </c>
      <c r="E5" s="177">
        <f>[13]รวม!$D$22</f>
        <v>0</v>
      </c>
      <c r="F5" s="177">
        <f>[13]รวม!$E$22</f>
        <v>0</v>
      </c>
      <c r="G5" s="176">
        <f t="shared" ref="G5:G14" si="0">SUM(D5:F5)</f>
        <v>2508720</v>
      </c>
      <c r="L5" s="198"/>
      <c r="M5" s="216">
        <f>1421280</f>
        <v>1421280</v>
      </c>
      <c r="N5" s="238" t="e">
        <f t="shared" ref="N5:N14" si="1">C5-G5</f>
        <v>#VALUE!</v>
      </c>
      <c r="O5" s="198"/>
    </row>
    <row r="6" spans="1:15" x14ac:dyDescent="0.6">
      <c r="A6" s="173"/>
      <c r="B6" s="174" t="s">
        <v>68</v>
      </c>
      <c r="C6" s="230" t="s">
        <v>256</v>
      </c>
      <c r="D6" s="176">
        <f>[13]รวม!$C$29</f>
        <v>2153880</v>
      </c>
      <c r="E6" s="177">
        <f>[13]รวม!$D$29</f>
        <v>155640</v>
      </c>
      <c r="F6" s="177">
        <f>[13]รวม!$E$29</f>
        <v>1434600</v>
      </c>
      <c r="G6" s="176">
        <f t="shared" si="0"/>
        <v>3744120</v>
      </c>
      <c r="L6" s="198"/>
      <c r="M6" s="216">
        <f>2280678+898789</f>
        <v>3179467</v>
      </c>
      <c r="N6" s="238" t="e">
        <f t="shared" si="1"/>
        <v>#VALUE!</v>
      </c>
      <c r="O6" s="198"/>
    </row>
    <row r="7" spans="1:15" x14ac:dyDescent="0.6">
      <c r="A7" s="173" t="s">
        <v>252</v>
      </c>
      <c r="B7" s="174" t="s">
        <v>40</v>
      </c>
      <c r="C7" s="230" t="s">
        <v>256</v>
      </c>
      <c r="D7" s="176">
        <f>[13]รวม!$C$38</f>
        <v>18912</v>
      </c>
      <c r="E7" s="177">
        <f>[13]รวม!$D$38</f>
        <v>0</v>
      </c>
      <c r="F7" s="177">
        <f>[13]รวม!$E$38</f>
        <v>10000</v>
      </c>
      <c r="G7" s="176">
        <f t="shared" si="0"/>
        <v>28912</v>
      </c>
      <c r="L7" s="198"/>
      <c r="M7" s="216">
        <f>195000+45000</f>
        <v>240000</v>
      </c>
      <c r="N7" s="238" t="e">
        <f t="shared" si="1"/>
        <v>#VALUE!</v>
      </c>
      <c r="O7" s="198"/>
    </row>
    <row r="8" spans="1:15" x14ac:dyDescent="0.6">
      <c r="A8" s="173"/>
      <c r="B8" s="174" t="s">
        <v>47</v>
      </c>
      <c r="C8" s="230" t="s">
        <v>256</v>
      </c>
      <c r="D8" s="176">
        <f>[13]รวม!$C$44</f>
        <v>1030237.6799999999</v>
      </c>
      <c r="E8" s="177">
        <f>[13]รวม!$D$44</f>
        <v>2200</v>
      </c>
      <c r="F8" s="177">
        <f>[13]รวม!$E$44</f>
        <v>131172</v>
      </c>
      <c r="G8" s="176">
        <f t="shared" si="0"/>
        <v>1163609.68</v>
      </c>
      <c r="L8" s="198"/>
      <c r="M8" s="216">
        <f>560000+200000</f>
        <v>760000</v>
      </c>
      <c r="N8" s="238" t="e">
        <f t="shared" si="1"/>
        <v>#VALUE!</v>
      </c>
      <c r="O8" s="231" t="e">
        <f>#REF!-#REF!</f>
        <v>#REF!</v>
      </c>
    </row>
    <row r="9" spans="1:15" x14ac:dyDescent="0.6">
      <c r="A9" s="173"/>
      <c r="B9" s="174" t="s">
        <v>39</v>
      </c>
      <c r="C9" s="230" t="s">
        <v>256</v>
      </c>
      <c r="D9" s="176">
        <f>[13]รวม!$C$63</f>
        <v>221655</v>
      </c>
      <c r="E9" s="177">
        <f>[13]รวม!$D$63</f>
        <v>0</v>
      </c>
      <c r="F9" s="177">
        <f>[13]รวม!$E$63</f>
        <v>43090.899999999994</v>
      </c>
      <c r="G9" s="176">
        <f t="shared" si="0"/>
        <v>264745.90000000002</v>
      </c>
      <c r="L9" s="198"/>
      <c r="M9" s="216">
        <f>298000+55000</f>
        <v>353000</v>
      </c>
      <c r="N9" s="238" t="e">
        <f t="shared" si="1"/>
        <v>#VALUE!</v>
      </c>
      <c r="O9" s="231" t="e">
        <f>#REF!-#REF!</f>
        <v>#REF!</v>
      </c>
    </row>
    <row r="10" spans="1:15" x14ac:dyDescent="0.6">
      <c r="A10" s="173"/>
      <c r="B10" s="174" t="s">
        <v>69</v>
      </c>
      <c r="C10" s="230" t="s">
        <v>256</v>
      </c>
      <c r="D10" s="176">
        <f>[13]รวม!$C$70</f>
        <v>309080.67000000004</v>
      </c>
      <c r="E10" s="177">
        <f>[13]รวม!$D$70</f>
        <v>0</v>
      </c>
      <c r="F10" s="177">
        <f>[13]รวม!$E$70</f>
        <v>15408</v>
      </c>
      <c r="G10" s="176">
        <f t="shared" si="0"/>
        <v>324488.67000000004</v>
      </c>
      <c r="L10" s="198"/>
      <c r="M10" s="216">
        <f>181000</f>
        <v>181000</v>
      </c>
      <c r="N10" s="238" t="e">
        <f t="shared" si="1"/>
        <v>#VALUE!</v>
      </c>
      <c r="O10" s="198"/>
    </row>
    <row r="11" spans="1:15" x14ac:dyDescent="0.6">
      <c r="A11" s="173" t="s">
        <v>253</v>
      </c>
      <c r="B11" s="174" t="s">
        <v>86</v>
      </c>
      <c r="C11" s="230" t="s">
        <v>256</v>
      </c>
      <c r="D11" s="176">
        <f>[13]รวม!$C$90</f>
        <v>126500</v>
      </c>
      <c r="E11" s="177">
        <f>[13]รวม!$D$90</f>
        <v>0</v>
      </c>
      <c r="F11" s="177">
        <f>[13]รวม!$E$90</f>
        <v>14100</v>
      </c>
      <c r="G11" s="176">
        <f t="shared" si="0"/>
        <v>140600</v>
      </c>
      <c r="L11" s="198"/>
      <c r="M11" s="216">
        <f>122000</f>
        <v>122000</v>
      </c>
      <c r="N11" s="238" t="e">
        <f t="shared" si="1"/>
        <v>#VALUE!</v>
      </c>
      <c r="O11" s="198"/>
    </row>
    <row r="12" spans="1:15" x14ac:dyDescent="0.6">
      <c r="A12" s="173"/>
      <c r="B12" s="174" t="s">
        <v>87</v>
      </c>
      <c r="C12" s="230" t="s">
        <v>256</v>
      </c>
      <c r="D12" s="176">
        <f>[13]รวม!$C$104</f>
        <v>0</v>
      </c>
      <c r="E12" s="177">
        <f>[13]รวม!$D$104</f>
        <v>0</v>
      </c>
      <c r="F12" s="177">
        <f>[13]รวม!$E$104</f>
        <v>0</v>
      </c>
      <c r="G12" s="176">
        <f t="shared" si="0"/>
        <v>0</v>
      </c>
      <c r="L12" s="198"/>
      <c r="M12" s="216">
        <v>0</v>
      </c>
      <c r="N12" s="238" t="e">
        <f t="shared" si="1"/>
        <v>#VALUE!</v>
      </c>
      <c r="O12" s="198"/>
    </row>
    <row r="13" spans="1:15" x14ac:dyDescent="0.6">
      <c r="A13" s="173" t="s">
        <v>254</v>
      </c>
      <c r="B13" s="174" t="s">
        <v>79</v>
      </c>
      <c r="C13" s="230" t="s">
        <v>256</v>
      </c>
      <c r="D13" s="176">
        <f>[13]รวม!$C$108</f>
        <v>0</v>
      </c>
      <c r="E13" s="177">
        <f>[13]รวม!$D$108</f>
        <v>0</v>
      </c>
      <c r="F13" s="177">
        <f>[13]รวม!$E$108</f>
        <v>0</v>
      </c>
      <c r="G13" s="176">
        <f t="shared" si="0"/>
        <v>0</v>
      </c>
      <c r="L13" s="198"/>
      <c r="M13" s="231">
        <f>25000</f>
        <v>25000</v>
      </c>
      <c r="N13" s="238" t="e">
        <f t="shared" si="1"/>
        <v>#VALUE!</v>
      </c>
      <c r="O13" s="198"/>
    </row>
    <row r="14" spans="1:15" x14ac:dyDescent="0.6">
      <c r="A14" s="182" t="s">
        <v>255</v>
      </c>
      <c r="B14" s="183" t="s">
        <v>80</v>
      </c>
      <c r="C14" s="230" t="s">
        <v>256</v>
      </c>
      <c r="D14" s="184">
        <f>[13]รวม!$C$115</f>
        <v>55000</v>
      </c>
      <c r="E14" s="177">
        <f>[13]รวม!$D$115</f>
        <v>0</v>
      </c>
      <c r="F14" s="177">
        <f>[13]รวม!$E$115</f>
        <v>0</v>
      </c>
      <c r="G14" s="184">
        <f t="shared" si="0"/>
        <v>55000</v>
      </c>
      <c r="L14" s="198"/>
      <c r="M14" s="231">
        <v>60000</v>
      </c>
      <c r="N14" s="238" t="e">
        <f t="shared" si="1"/>
        <v>#VALUE!</v>
      </c>
      <c r="O14" s="198"/>
    </row>
    <row r="15" spans="1:15" ht="24" customHeight="1" x14ac:dyDescent="0.6">
      <c r="A15" s="364" t="s">
        <v>5</v>
      </c>
      <c r="B15" s="365"/>
      <c r="C15" s="366"/>
      <c r="D15" s="239">
        <f>SUM(D5:D14)</f>
        <v>6423985.3499999996</v>
      </c>
      <c r="E15" s="239">
        <f>SUM(E5:E14)</f>
        <v>157840</v>
      </c>
      <c r="F15" s="239">
        <f>SUM(F5:F14)</f>
        <v>1648370.9</v>
      </c>
      <c r="G15" s="239">
        <f>SUM(G5:G14)</f>
        <v>8230196.25</v>
      </c>
      <c r="H15" s="48">
        <f>G15-[13]รวม!$E$117</f>
        <v>0</v>
      </c>
      <c r="L15" s="190"/>
      <c r="M15" s="240">
        <f>SUM(M5:M14)</f>
        <v>6341747</v>
      </c>
      <c r="N15" s="238" t="e">
        <f>SUM(N5:N14)</f>
        <v>#VALUE!</v>
      </c>
      <c r="O15" s="198"/>
    </row>
    <row r="16" spans="1:15" x14ac:dyDescent="0.6">
      <c r="A16" s="188"/>
      <c r="B16" s="189"/>
      <c r="C16" s="191"/>
      <c r="D16" s="191"/>
      <c r="E16" s="198"/>
      <c r="F16" s="198"/>
      <c r="G16" s="198"/>
      <c r="H16" s="198"/>
      <c r="I16" s="198"/>
      <c r="J16" s="198"/>
      <c r="K16" s="198"/>
      <c r="L16" s="198"/>
      <c r="M16" s="198"/>
    </row>
    <row r="17" spans="1:13" x14ac:dyDescent="0.6">
      <c r="A17" s="188"/>
      <c r="B17" s="189"/>
      <c r="C17" s="191"/>
      <c r="D17" s="191"/>
      <c r="E17" s="198"/>
      <c r="F17" s="198"/>
      <c r="G17" s="198"/>
      <c r="H17" s="198"/>
      <c r="I17" s="198"/>
      <c r="J17" s="198"/>
      <c r="K17" s="198"/>
      <c r="L17" s="198"/>
      <c r="M17" s="198"/>
    </row>
    <row r="18" spans="1:13" x14ac:dyDescent="0.6">
      <c r="A18" s="188"/>
      <c r="B18" s="189"/>
      <c r="C18" s="191"/>
      <c r="D18" s="191"/>
      <c r="E18" s="198"/>
      <c r="F18" s="198"/>
      <c r="G18" s="198"/>
      <c r="H18" s="198"/>
      <c r="I18" s="198"/>
      <c r="J18" s="198"/>
      <c r="K18" s="198"/>
      <c r="L18" s="198"/>
      <c r="M18" s="198"/>
    </row>
    <row r="19" spans="1:13" x14ac:dyDescent="0.6">
      <c r="A19" s="188"/>
      <c r="B19" s="189"/>
      <c r="C19" s="191"/>
      <c r="D19" s="191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3" x14ac:dyDescent="0.6">
      <c r="A20" s="188"/>
      <c r="B20" s="189"/>
      <c r="C20" s="191"/>
      <c r="D20" s="191"/>
      <c r="E20" s="198"/>
      <c r="F20" s="198"/>
      <c r="G20" s="198"/>
      <c r="H20" s="198"/>
      <c r="I20" s="198"/>
      <c r="J20" s="198"/>
      <c r="K20" s="198"/>
      <c r="L20" s="198"/>
      <c r="M20" s="198"/>
    </row>
    <row r="21" spans="1:13" x14ac:dyDescent="0.6">
      <c r="A21" s="188"/>
      <c r="B21" s="189"/>
      <c r="C21" s="191"/>
      <c r="D21" s="191"/>
      <c r="E21" s="198"/>
      <c r="F21" s="198"/>
      <c r="G21" s="198"/>
      <c r="H21" s="198"/>
      <c r="I21" s="198"/>
      <c r="J21" s="198"/>
      <c r="K21" s="198"/>
      <c r="L21" s="198"/>
      <c r="M21" s="198"/>
    </row>
    <row r="22" spans="1:13" x14ac:dyDescent="0.6">
      <c r="A22" s="188"/>
      <c r="B22" s="189"/>
      <c r="C22" s="191"/>
      <c r="D22" s="191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1:13" x14ac:dyDescent="0.6">
      <c r="A23" s="188"/>
      <c r="B23" s="189"/>
      <c r="C23" s="191"/>
      <c r="D23" s="191"/>
      <c r="E23" s="198"/>
      <c r="F23" s="198"/>
      <c r="G23" s="198"/>
      <c r="H23" s="198"/>
      <c r="I23" s="198"/>
      <c r="J23" s="198"/>
      <c r="K23" s="198"/>
      <c r="L23" s="198"/>
      <c r="M23" s="198"/>
    </row>
    <row r="24" spans="1:13" x14ac:dyDescent="0.6">
      <c r="A24" s="188"/>
      <c r="B24" s="189"/>
      <c r="C24" s="191"/>
      <c r="D24" s="191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1:13" x14ac:dyDescent="0.6">
      <c r="A25" s="188"/>
      <c r="B25" s="189"/>
      <c r="C25" s="191"/>
      <c r="D25" s="191"/>
      <c r="E25" s="198"/>
      <c r="F25" s="198"/>
      <c r="G25" s="198"/>
      <c r="H25" s="198"/>
      <c r="I25" s="198"/>
      <c r="J25" s="198"/>
      <c r="K25" s="198"/>
      <c r="L25" s="198"/>
      <c r="M25" s="198"/>
    </row>
    <row r="26" spans="1:13" x14ac:dyDescent="0.6">
      <c r="A26" s="188"/>
      <c r="B26" s="189"/>
      <c r="C26" s="191"/>
      <c r="D26" s="191"/>
      <c r="E26" s="198"/>
      <c r="F26" s="198"/>
      <c r="G26" s="198"/>
      <c r="H26" s="198"/>
      <c r="I26" s="198"/>
      <c r="J26" s="198"/>
      <c r="K26" s="198"/>
      <c r="L26" s="198"/>
      <c r="M26" s="198"/>
    </row>
    <row r="27" spans="1:13" x14ac:dyDescent="0.6">
      <c r="A27" s="188"/>
      <c r="B27" s="189"/>
      <c r="C27" s="191"/>
      <c r="D27" s="191"/>
      <c r="E27" s="198"/>
      <c r="F27" s="198"/>
      <c r="G27" s="198"/>
      <c r="H27" s="198"/>
      <c r="I27" s="198"/>
      <c r="J27" s="198"/>
      <c r="K27" s="198"/>
      <c r="L27" s="198"/>
      <c r="M27" s="198"/>
    </row>
    <row r="28" spans="1:13" x14ac:dyDescent="0.6">
      <c r="A28" s="188"/>
      <c r="B28" s="189"/>
      <c r="C28" s="191"/>
      <c r="D28" s="191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3" x14ac:dyDescent="0.6">
      <c r="A29" s="188"/>
      <c r="B29" s="189"/>
      <c r="C29" s="191"/>
      <c r="D29" s="191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1:13" x14ac:dyDescent="0.6">
      <c r="A30" s="188"/>
      <c r="B30" s="189"/>
      <c r="C30" s="191"/>
      <c r="D30" s="191"/>
      <c r="E30" s="198"/>
      <c r="F30" s="198"/>
      <c r="G30" s="198"/>
      <c r="H30" s="198"/>
      <c r="I30" s="198"/>
      <c r="J30" s="198"/>
      <c r="K30" s="198"/>
      <c r="L30" s="198"/>
      <c r="M30" s="198"/>
    </row>
    <row r="31" spans="1:13" x14ac:dyDescent="0.6">
      <c r="A31" s="188"/>
      <c r="B31" s="189"/>
      <c r="C31" s="191"/>
      <c r="D31" s="191"/>
      <c r="E31" s="198"/>
      <c r="F31" s="198"/>
      <c r="G31" s="198"/>
      <c r="H31" s="198"/>
      <c r="I31" s="198"/>
      <c r="J31" s="198"/>
      <c r="K31" s="198"/>
      <c r="L31" s="198"/>
      <c r="M31" s="198"/>
    </row>
    <row r="32" spans="1:13" ht="27.75" x14ac:dyDescent="0.6">
      <c r="A32" s="363" t="s">
        <v>0</v>
      </c>
      <c r="B32" s="363"/>
      <c r="C32" s="363"/>
      <c r="D32" s="363"/>
      <c r="E32" s="363"/>
      <c r="F32" s="363"/>
      <c r="G32" s="363"/>
      <c r="H32" s="225"/>
      <c r="I32" s="225"/>
      <c r="J32" s="225"/>
      <c r="K32" s="225"/>
      <c r="L32" s="225"/>
      <c r="M32" s="225"/>
    </row>
    <row r="33" spans="1:14" ht="27.75" x14ac:dyDescent="0.6">
      <c r="A33" s="363" t="s">
        <v>91</v>
      </c>
      <c r="B33" s="363"/>
      <c r="C33" s="363"/>
      <c r="D33" s="363"/>
      <c r="E33" s="363"/>
      <c r="F33" s="363"/>
      <c r="G33" s="363"/>
      <c r="H33" s="225"/>
      <c r="I33" s="225"/>
      <c r="J33" s="225"/>
      <c r="K33" s="225"/>
      <c r="L33" s="225"/>
      <c r="M33" s="225"/>
    </row>
    <row r="34" spans="1:14" ht="27.75" x14ac:dyDescent="0.6">
      <c r="A34" s="367" t="s">
        <v>399</v>
      </c>
      <c r="B34" s="367"/>
      <c r="C34" s="367"/>
      <c r="D34" s="367"/>
      <c r="E34" s="367"/>
      <c r="F34" s="367"/>
      <c r="G34" s="367"/>
      <c r="H34" s="225"/>
      <c r="I34" s="225"/>
      <c r="J34" s="225"/>
      <c r="K34" s="225"/>
      <c r="L34" s="225"/>
      <c r="M34" s="225"/>
    </row>
    <row r="35" spans="1:14" ht="49.5" x14ac:dyDescent="0.6">
      <c r="A35" s="166" t="s">
        <v>250</v>
      </c>
      <c r="B35" s="167" t="s">
        <v>233</v>
      </c>
      <c r="C35" s="168" t="s">
        <v>230</v>
      </c>
      <c r="D35" s="168" t="s">
        <v>95</v>
      </c>
      <c r="E35" s="168" t="s">
        <v>92</v>
      </c>
      <c r="F35" s="168" t="s">
        <v>96</v>
      </c>
      <c r="G35" s="168" t="s">
        <v>5</v>
      </c>
      <c r="J35" s="236"/>
      <c r="K35" s="236"/>
      <c r="L35" s="236"/>
      <c r="M35" s="237" t="s">
        <v>56</v>
      </c>
      <c r="N35" s="237" t="s">
        <v>37</v>
      </c>
    </row>
    <row r="36" spans="1:14" x14ac:dyDescent="0.6">
      <c r="A36" s="173" t="s">
        <v>251</v>
      </c>
      <c r="B36" s="174" t="s">
        <v>67</v>
      </c>
      <c r="C36" s="230" t="s">
        <v>256</v>
      </c>
      <c r="D36" s="176"/>
      <c r="E36" s="177"/>
      <c r="F36" s="177">
        <f>[13]รวม!$F$22</f>
        <v>0</v>
      </c>
      <c r="G36" s="176">
        <f t="shared" ref="G36:G38" si="2">SUM(D36:F36)</f>
        <v>0</v>
      </c>
      <c r="J36" s="198"/>
      <c r="K36" s="198"/>
      <c r="L36" s="198"/>
      <c r="M36" s="216"/>
      <c r="N36" s="231"/>
    </row>
    <row r="37" spans="1:14" x14ac:dyDescent="0.6">
      <c r="A37" s="173"/>
      <c r="B37" s="174" t="s">
        <v>68</v>
      </c>
      <c r="C37" s="230" t="s">
        <v>256</v>
      </c>
      <c r="D37" s="176"/>
      <c r="E37" s="177"/>
      <c r="F37" s="177">
        <f>[13]รวม!$F$29</f>
        <v>0</v>
      </c>
      <c r="G37" s="176">
        <f t="shared" si="2"/>
        <v>0</v>
      </c>
      <c r="J37" s="198"/>
      <c r="K37" s="198"/>
      <c r="L37" s="198"/>
      <c r="M37" s="216"/>
      <c r="N37" s="231"/>
    </row>
    <row r="38" spans="1:14" x14ac:dyDescent="0.6">
      <c r="A38" s="173" t="s">
        <v>252</v>
      </c>
      <c r="B38" s="174" t="s">
        <v>40</v>
      </c>
      <c r="C38" s="230" t="s">
        <v>256</v>
      </c>
      <c r="D38" s="176"/>
      <c r="E38" s="177"/>
      <c r="F38" s="177">
        <f>[13]รวม!$F$38</f>
        <v>0</v>
      </c>
      <c r="G38" s="176">
        <f t="shared" si="2"/>
        <v>0</v>
      </c>
      <c r="J38" s="198"/>
      <c r="K38" s="198"/>
      <c r="L38" s="198"/>
      <c r="M38" s="216"/>
      <c r="N38" s="231"/>
    </row>
    <row r="39" spans="1:14" x14ac:dyDescent="0.6">
      <c r="A39" s="173"/>
      <c r="B39" s="174" t="s">
        <v>47</v>
      </c>
      <c r="C39" s="230" t="s">
        <v>256</v>
      </c>
      <c r="D39" s="176"/>
      <c r="E39" s="177"/>
      <c r="F39" s="177">
        <f>[13]รวม!$F$44</f>
        <v>27738</v>
      </c>
      <c r="G39" s="176">
        <f t="shared" ref="G39:G45" si="3">SUM(D39:F39)</f>
        <v>27738</v>
      </c>
      <c r="J39" s="198"/>
      <c r="K39" s="198"/>
      <c r="L39" s="198"/>
      <c r="M39" s="216">
        <f>110000</f>
        <v>110000</v>
      </c>
      <c r="N39" s="238" t="e">
        <f>C39-G39</f>
        <v>#VALUE!</v>
      </c>
    </row>
    <row r="40" spans="1:14" x14ac:dyDescent="0.6">
      <c r="A40" s="173"/>
      <c r="B40" s="174" t="s">
        <v>39</v>
      </c>
      <c r="C40" s="230" t="s">
        <v>256</v>
      </c>
      <c r="D40" s="176"/>
      <c r="E40" s="177"/>
      <c r="F40" s="177">
        <f>[13]รวม!$F$63</f>
        <v>31000</v>
      </c>
      <c r="G40" s="176">
        <f t="shared" si="3"/>
        <v>31000</v>
      </c>
      <c r="J40" s="198"/>
      <c r="K40" s="198"/>
      <c r="L40" s="198"/>
      <c r="M40" s="216"/>
      <c r="N40" s="241"/>
    </row>
    <row r="41" spans="1:14" x14ac:dyDescent="0.6">
      <c r="A41" s="173"/>
      <c r="B41" s="174" t="s">
        <v>69</v>
      </c>
      <c r="C41" s="230" t="s">
        <v>256</v>
      </c>
      <c r="D41" s="176"/>
      <c r="E41" s="177"/>
      <c r="F41" s="177">
        <f>[13]รวม!$F$70</f>
        <v>0</v>
      </c>
      <c r="G41" s="176">
        <f t="shared" si="3"/>
        <v>0</v>
      </c>
      <c r="J41" s="198"/>
      <c r="K41" s="198"/>
      <c r="L41" s="198"/>
      <c r="M41" s="216"/>
      <c r="N41" s="241"/>
    </row>
    <row r="42" spans="1:14" x14ac:dyDescent="0.6">
      <c r="A42" s="173" t="s">
        <v>253</v>
      </c>
      <c r="B42" s="174" t="s">
        <v>86</v>
      </c>
      <c r="C42" s="230" t="s">
        <v>256</v>
      </c>
      <c r="D42" s="176"/>
      <c r="E42" s="177"/>
      <c r="F42" s="177">
        <f>[13]รวม!$F$90</f>
        <v>0</v>
      </c>
      <c r="G42" s="176">
        <f t="shared" si="3"/>
        <v>0</v>
      </c>
      <c r="J42" s="198"/>
      <c r="K42" s="198"/>
      <c r="L42" s="198"/>
      <c r="M42" s="216"/>
      <c r="N42" s="241"/>
    </row>
    <row r="43" spans="1:14" x14ac:dyDescent="0.6">
      <c r="A43" s="173"/>
      <c r="B43" s="174" t="s">
        <v>87</v>
      </c>
      <c r="C43" s="230" t="s">
        <v>256</v>
      </c>
      <c r="D43" s="176"/>
      <c r="E43" s="177"/>
      <c r="F43" s="177">
        <f>[13]รวม!$F$104</f>
        <v>0</v>
      </c>
      <c r="G43" s="176">
        <f t="shared" si="3"/>
        <v>0</v>
      </c>
      <c r="J43" s="198"/>
      <c r="K43" s="198"/>
      <c r="L43" s="198"/>
      <c r="M43" s="216"/>
      <c r="N43" s="241"/>
    </row>
    <row r="44" spans="1:14" x14ac:dyDescent="0.6">
      <c r="A44" s="173" t="s">
        <v>254</v>
      </c>
      <c r="B44" s="174" t="s">
        <v>79</v>
      </c>
      <c r="C44" s="230" t="s">
        <v>256</v>
      </c>
      <c r="D44" s="176"/>
      <c r="E44" s="177"/>
      <c r="F44" s="177">
        <f>[13]รวม!$F$108</f>
        <v>0</v>
      </c>
      <c r="G44" s="176">
        <f t="shared" si="3"/>
        <v>0</v>
      </c>
      <c r="J44" s="198"/>
      <c r="K44" s="198"/>
      <c r="L44" s="198"/>
      <c r="M44" s="231"/>
      <c r="N44" s="241"/>
    </row>
    <row r="45" spans="1:14" x14ac:dyDescent="0.6">
      <c r="A45" s="182" t="s">
        <v>255</v>
      </c>
      <c r="B45" s="183" t="s">
        <v>80</v>
      </c>
      <c r="C45" s="230" t="s">
        <v>256</v>
      </c>
      <c r="D45" s="184"/>
      <c r="E45" s="242"/>
      <c r="F45" s="242">
        <f>[13]รวม!$F$115</f>
        <v>0</v>
      </c>
      <c r="G45" s="176">
        <f t="shared" si="3"/>
        <v>0</v>
      </c>
      <c r="J45" s="198"/>
      <c r="K45" s="198"/>
      <c r="L45" s="198"/>
      <c r="M45" s="231"/>
      <c r="N45" s="241"/>
    </row>
    <row r="46" spans="1:14" ht="24" customHeight="1" x14ac:dyDescent="0.6">
      <c r="A46" s="364" t="s">
        <v>5</v>
      </c>
      <c r="B46" s="365"/>
      <c r="C46" s="366"/>
      <c r="D46" s="239">
        <f>SUM(D36:D45)</f>
        <v>0</v>
      </c>
      <c r="E46" s="239">
        <f>SUM(E36:E45)</f>
        <v>0</v>
      </c>
      <c r="F46" s="239">
        <f>SUM(F36:F45)</f>
        <v>58738</v>
      </c>
      <c r="G46" s="239">
        <f>SUM(G36:G45)</f>
        <v>58738</v>
      </c>
      <c r="H46" s="48">
        <f>G46-[13]รวม!$F$117</f>
        <v>0</v>
      </c>
      <c r="J46" s="190"/>
      <c r="K46" s="190"/>
      <c r="L46" s="190"/>
      <c r="M46" s="240">
        <f>SUM(M36:M45)</f>
        <v>110000</v>
      </c>
      <c r="N46" s="240" t="e">
        <f>SUM(N36:N45)</f>
        <v>#VALUE!</v>
      </c>
    </row>
    <row r="47" spans="1:14" x14ac:dyDescent="0.6">
      <c r="A47" s="188"/>
      <c r="B47" s="189"/>
      <c r="C47" s="191"/>
      <c r="D47" s="191"/>
      <c r="E47" s="198"/>
      <c r="F47" s="198"/>
      <c r="G47" s="198"/>
      <c r="H47" s="198"/>
      <c r="I47" s="198"/>
      <c r="J47" s="198"/>
      <c r="K47" s="198"/>
      <c r="L47" s="198"/>
      <c r="M47" s="198"/>
    </row>
    <row r="48" spans="1:14" x14ac:dyDescent="0.6">
      <c r="A48" s="188"/>
      <c r="B48" s="189"/>
      <c r="C48" s="191"/>
      <c r="D48" s="191"/>
      <c r="E48" s="198"/>
      <c r="F48" s="198"/>
      <c r="G48" s="198"/>
      <c r="H48" s="198"/>
      <c r="I48" s="198"/>
      <c r="J48" s="198"/>
      <c r="K48" s="198"/>
      <c r="L48" s="198"/>
      <c r="M48" s="198"/>
    </row>
    <row r="49" spans="1:14" x14ac:dyDescent="0.6">
      <c r="A49" s="188"/>
      <c r="B49" s="189"/>
      <c r="C49" s="191"/>
      <c r="D49" s="191"/>
      <c r="E49" s="198"/>
      <c r="F49" s="198"/>
      <c r="G49" s="198"/>
      <c r="H49" s="198"/>
      <c r="I49" s="198"/>
      <c r="J49" s="198"/>
      <c r="K49" s="198"/>
      <c r="L49" s="198"/>
      <c r="M49" s="198"/>
    </row>
    <row r="50" spans="1:14" x14ac:dyDescent="0.6">
      <c r="A50" s="188"/>
      <c r="B50" s="189"/>
      <c r="C50" s="191"/>
      <c r="D50" s="191"/>
      <c r="E50" s="198"/>
      <c r="F50" s="198"/>
      <c r="G50" s="198"/>
      <c r="H50" s="198"/>
      <c r="I50" s="198"/>
      <c r="J50" s="198"/>
      <c r="K50" s="198"/>
      <c r="L50" s="198"/>
      <c r="M50" s="198"/>
    </row>
    <row r="51" spans="1:14" x14ac:dyDescent="0.6">
      <c r="A51" s="188"/>
      <c r="B51" s="189"/>
      <c r="C51" s="191"/>
      <c r="D51" s="191"/>
      <c r="E51" s="198"/>
      <c r="F51" s="198"/>
      <c r="G51" s="198"/>
      <c r="H51" s="198"/>
      <c r="I51" s="198"/>
      <c r="J51" s="198"/>
      <c r="K51" s="198"/>
      <c r="L51" s="198"/>
      <c r="M51" s="198"/>
    </row>
    <row r="52" spans="1:14" x14ac:dyDescent="0.6">
      <c r="A52" s="188"/>
      <c r="B52" s="189"/>
      <c r="C52" s="191"/>
      <c r="D52" s="191"/>
      <c r="E52" s="198"/>
      <c r="F52" s="198"/>
      <c r="G52" s="198"/>
      <c r="H52" s="198"/>
      <c r="I52" s="198"/>
      <c r="J52" s="198"/>
      <c r="K52" s="198"/>
      <c r="L52" s="198"/>
      <c r="M52" s="198"/>
    </row>
    <row r="53" spans="1:14" x14ac:dyDescent="0.6">
      <c r="A53" s="188"/>
      <c r="B53" s="189"/>
      <c r="C53" s="191"/>
      <c r="D53" s="191"/>
      <c r="E53" s="198"/>
      <c r="F53" s="198"/>
      <c r="G53" s="198"/>
      <c r="H53" s="198"/>
      <c r="I53" s="198"/>
      <c r="J53" s="198"/>
      <c r="K53" s="198"/>
      <c r="L53" s="198"/>
      <c r="M53" s="198"/>
    </row>
    <row r="54" spans="1:14" x14ac:dyDescent="0.6">
      <c r="A54" s="188"/>
      <c r="B54" s="189"/>
      <c r="C54" s="191"/>
      <c r="D54" s="191"/>
      <c r="E54" s="198"/>
      <c r="F54" s="198"/>
      <c r="G54" s="198"/>
      <c r="H54" s="198"/>
      <c r="I54" s="198"/>
      <c r="J54" s="198"/>
      <c r="K54" s="198"/>
      <c r="L54" s="198"/>
      <c r="M54" s="198"/>
    </row>
    <row r="55" spans="1:14" x14ac:dyDescent="0.6">
      <c r="A55" s="188"/>
      <c r="B55" s="189"/>
      <c r="C55" s="191"/>
      <c r="D55" s="191"/>
      <c r="E55" s="198"/>
      <c r="F55" s="198"/>
      <c r="G55" s="198"/>
      <c r="H55" s="198"/>
      <c r="I55" s="198"/>
      <c r="J55" s="198"/>
      <c r="K55" s="198"/>
      <c r="L55" s="198"/>
      <c r="M55" s="198"/>
    </row>
    <row r="56" spans="1:14" x14ac:dyDescent="0.6">
      <c r="A56" s="188"/>
      <c r="B56" s="189"/>
      <c r="C56" s="191"/>
      <c r="D56" s="191"/>
      <c r="E56" s="198"/>
      <c r="F56" s="198"/>
      <c r="G56" s="198"/>
      <c r="H56" s="198"/>
      <c r="I56" s="198"/>
      <c r="J56" s="198"/>
      <c r="K56" s="198"/>
      <c r="L56" s="198"/>
      <c r="M56" s="198"/>
    </row>
    <row r="57" spans="1:14" x14ac:dyDescent="0.6">
      <c r="A57" s="188"/>
      <c r="B57" s="189"/>
      <c r="C57" s="191"/>
      <c r="D57" s="191"/>
      <c r="E57" s="198"/>
      <c r="F57" s="198"/>
      <c r="G57" s="198"/>
      <c r="H57" s="198"/>
      <c r="I57" s="198"/>
      <c r="J57" s="198"/>
      <c r="K57" s="198"/>
      <c r="L57" s="198"/>
      <c r="M57" s="198"/>
    </row>
    <row r="58" spans="1:14" x14ac:dyDescent="0.6">
      <c r="A58" s="188"/>
      <c r="B58" s="189"/>
      <c r="C58" s="191"/>
      <c r="D58" s="191"/>
      <c r="E58" s="198"/>
      <c r="F58" s="198"/>
      <c r="G58" s="198"/>
      <c r="H58" s="198"/>
      <c r="I58" s="198"/>
      <c r="J58" s="198"/>
      <c r="K58" s="198"/>
      <c r="L58" s="198"/>
      <c r="M58" s="198"/>
    </row>
    <row r="59" spans="1:14" x14ac:dyDescent="0.6">
      <c r="A59" s="188"/>
      <c r="B59" s="189"/>
      <c r="C59" s="191"/>
      <c r="D59" s="191"/>
      <c r="E59" s="198"/>
      <c r="F59" s="198"/>
      <c r="G59" s="198"/>
      <c r="H59" s="198"/>
      <c r="I59" s="198"/>
      <c r="J59" s="198"/>
      <c r="K59" s="198"/>
      <c r="L59" s="198"/>
      <c r="M59" s="198"/>
    </row>
    <row r="60" spans="1:14" x14ac:dyDescent="0.6">
      <c r="A60" s="188"/>
      <c r="B60" s="189"/>
      <c r="C60" s="191"/>
      <c r="D60" s="191"/>
      <c r="E60" s="198"/>
      <c r="F60" s="198"/>
      <c r="G60" s="198"/>
      <c r="H60" s="198"/>
      <c r="I60" s="198"/>
      <c r="J60" s="198"/>
      <c r="K60" s="198"/>
      <c r="L60" s="198"/>
      <c r="M60" s="198"/>
    </row>
    <row r="61" spans="1:14" ht="27.75" x14ac:dyDescent="0.6">
      <c r="A61" s="363" t="s">
        <v>0</v>
      </c>
      <c r="B61" s="363"/>
      <c r="C61" s="363"/>
      <c r="D61" s="363"/>
      <c r="E61" s="363"/>
      <c r="F61" s="363"/>
      <c r="G61" s="363"/>
      <c r="H61" s="363"/>
    </row>
    <row r="62" spans="1:14" ht="27.75" x14ac:dyDescent="0.6">
      <c r="A62" s="363" t="s">
        <v>93</v>
      </c>
      <c r="B62" s="363"/>
      <c r="C62" s="363"/>
      <c r="D62" s="363"/>
      <c r="E62" s="363"/>
      <c r="F62" s="363"/>
      <c r="G62" s="363"/>
      <c r="H62" s="363"/>
    </row>
    <row r="63" spans="1:14" ht="27.75" x14ac:dyDescent="0.6">
      <c r="A63" s="367" t="s">
        <v>399</v>
      </c>
      <c r="B63" s="367"/>
      <c r="C63" s="367"/>
      <c r="D63" s="367"/>
      <c r="E63" s="367"/>
      <c r="F63" s="367"/>
      <c r="G63" s="367"/>
      <c r="H63" s="367"/>
    </row>
    <row r="64" spans="1:14" ht="49.5" x14ac:dyDescent="0.6">
      <c r="A64" s="166" t="s">
        <v>250</v>
      </c>
      <c r="B64" s="167" t="s">
        <v>233</v>
      </c>
      <c r="C64" s="168" t="s">
        <v>230</v>
      </c>
      <c r="D64" s="168" t="s">
        <v>98</v>
      </c>
      <c r="E64" s="168" t="s">
        <v>97</v>
      </c>
      <c r="F64" s="168" t="s">
        <v>94</v>
      </c>
      <c r="G64" s="168" t="s">
        <v>50</v>
      </c>
      <c r="H64" s="168" t="s">
        <v>5</v>
      </c>
      <c r="M64" s="237" t="s">
        <v>56</v>
      </c>
      <c r="N64" s="241" t="s">
        <v>37</v>
      </c>
    </row>
    <row r="65" spans="1:15" x14ac:dyDescent="0.6">
      <c r="A65" s="173" t="s">
        <v>251</v>
      </c>
      <c r="B65" s="174" t="s">
        <v>67</v>
      </c>
      <c r="C65" s="230" t="s">
        <v>256</v>
      </c>
      <c r="D65" s="176">
        <f>[13]รวม!$G$22</f>
        <v>0</v>
      </c>
      <c r="E65" s="177">
        <f>[13]รวม!$H$22</f>
        <v>0</v>
      </c>
      <c r="F65" s="177"/>
      <c r="G65" s="177">
        <f>[13]รวม!$I$22</f>
        <v>0</v>
      </c>
      <c r="H65" s="176">
        <f t="shared" ref="H65:H74" si="4">SUM(D65:G65)</f>
        <v>0</v>
      </c>
      <c r="M65" s="216"/>
      <c r="N65" s="241"/>
    </row>
    <row r="66" spans="1:15" x14ac:dyDescent="0.6">
      <c r="A66" s="173"/>
      <c r="B66" s="174" t="s">
        <v>68</v>
      </c>
      <c r="C66" s="230" t="s">
        <v>256</v>
      </c>
      <c r="D66" s="176">
        <f>[13]รวม!$G$29</f>
        <v>501720</v>
      </c>
      <c r="E66" s="176">
        <f>[13]รวม!$H$29</f>
        <v>297474.5</v>
      </c>
      <c r="F66" s="177"/>
      <c r="G66" s="177">
        <f>[13]รวม!$I$29</f>
        <v>0</v>
      </c>
      <c r="H66" s="176">
        <f t="shared" si="4"/>
        <v>799194.5</v>
      </c>
      <c r="M66" s="216">
        <v>272163</v>
      </c>
      <c r="N66" s="238" t="e">
        <f t="shared" ref="N66:N74" si="5">C66-H66</f>
        <v>#VALUE!</v>
      </c>
    </row>
    <row r="67" spans="1:15" x14ac:dyDescent="0.6">
      <c r="A67" s="173" t="s">
        <v>252</v>
      </c>
      <c r="B67" s="174" t="s">
        <v>40</v>
      </c>
      <c r="C67" s="230" t="s">
        <v>256</v>
      </c>
      <c r="D67" s="176">
        <f>[13]รวม!$G$38</f>
        <v>2400</v>
      </c>
      <c r="E67" s="177">
        <f>[13]รวม!$H$38</f>
        <v>0</v>
      </c>
      <c r="F67" s="177"/>
      <c r="G67" s="177">
        <f>[13]รวม!$I$38</f>
        <v>0</v>
      </c>
      <c r="H67" s="176">
        <f t="shared" si="4"/>
        <v>2400</v>
      </c>
      <c r="M67" s="216">
        <f>22000+5000</f>
        <v>27000</v>
      </c>
      <c r="N67" s="238" t="e">
        <f t="shared" si="5"/>
        <v>#VALUE!</v>
      </c>
    </row>
    <row r="68" spans="1:15" x14ac:dyDescent="0.6">
      <c r="A68" s="173"/>
      <c r="B68" s="174" t="s">
        <v>47</v>
      </c>
      <c r="C68" s="230" t="s">
        <v>256</v>
      </c>
      <c r="D68" s="176">
        <f>[13]รวม!$G$44</f>
        <v>51606</v>
      </c>
      <c r="E68" s="177">
        <f>[13]รวม!$H$44</f>
        <v>811357</v>
      </c>
      <c r="F68" s="177"/>
      <c r="G68" s="177">
        <f>[13]รวม!$I$44</f>
        <v>1997</v>
      </c>
      <c r="H68" s="176">
        <f t="shared" si="4"/>
        <v>864960</v>
      </c>
      <c r="M68" s="216">
        <f>55000+162000+265000</f>
        <v>482000</v>
      </c>
      <c r="N68" s="238" t="e">
        <f t="shared" si="5"/>
        <v>#VALUE!</v>
      </c>
      <c r="O68" s="243" t="e">
        <f>#REF!-#REF!</f>
        <v>#REF!</v>
      </c>
    </row>
    <row r="69" spans="1:15" x14ac:dyDescent="0.6">
      <c r="A69" s="173"/>
      <c r="B69" s="174" t="s">
        <v>39</v>
      </c>
      <c r="C69" s="230" t="s">
        <v>256</v>
      </c>
      <c r="D69" s="176">
        <f>[13]รวม!$G$63</f>
        <v>23395</v>
      </c>
      <c r="E69" s="177">
        <f>[13]รวม!$H$63</f>
        <v>260549.43000000005</v>
      </c>
      <c r="F69" s="177"/>
      <c r="G69" s="177">
        <f>[13]รวม!$I$63</f>
        <v>24570</v>
      </c>
      <c r="H69" s="176">
        <f t="shared" si="4"/>
        <v>308514.43000000005</v>
      </c>
      <c r="M69" s="216">
        <f>50000+264440</f>
        <v>314440</v>
      </c>
      <c r="N69" s="238" t="e">
        <f t="shared" si="5"/>
        <v>#VALUE!</v>
      </c>
      <c r="O69" s="243" t="e">
        <f>#REF!-#REF!</f>
        <v>#REF!</v>
      </c>
    </row>
    <row r="70" spans="1:15" x14ac:dyDescent="0.6">
      <c r="A70" s="173"/>
      <c r="B70" s="174" t="s">
        <v>69</v>
      </c>
      <c r="C70" s="230" t="s">
        <v>256</v>
      </c>
      <c r="D70" s="176">
        <f>[13]รวม!$G$70</f>
        <v>15408</v>
      </c>
      <c r="E70" s="177">
        <f>[13]รวม!$H$70</f>
        <v>2262.17</v>
      </c>
      <c r="F70" s="177"/>
      <c r="G70" s="177">
        <f>[13]รวม!$I$70</f>
        <v>37878</v>
      </c>
      <c r="H70" s="176">
        <f t="shared" si="4"/>
        <v>55548.17</v>
      </c>
      <c r="M70" s="216"/>
      <c r="N70" s="238" t="e">
        <f t="shared" si="5"/>
        <v>#VALUE!</v>
      </c>
    </row>
    <row r="71" spans="1:15" x14ac:dyDescent="0.6">
      <c r="A71" s="173" t="s">
        <v>253</v>
      </c>
      <c r="B71" s="174" t="s">
        <v>86</v>
      </c>
      <c r="C71" s="230" t="s">
        <v>256</v>
      </c>
      <c r="D71" s="176">
        <f>[13]รวม!$G$90</f>
        <v>0</v>
      </c>
      <c r="E71" s="177">
        <f>[13]รวม!$H$90</f>
        <v>45370</v>
      </c>
      <c r="F71" s="177"/>
      <c r="G71" s="177">
        <f>[13]รวม!$I$90</f>
        <v>0</v>
      </c>
      <c r="H71" s="176">
        <f t="shared" si="4"/>
        <v>45370</v>
      </c>
      <c r="L71" s="48"/>
      <c r="M71" s="216">
        <f>71000</f>
        <v>71000</v>
      </c>
      <c r="N71" s="238" t="e">
        <f t="shared" si="5"/>
        <v>#VALUE!</v>
      </c>
    </row>
    <row r="72" spans="1:15" x14ac:dyDescent="0.6">
      <c r="A72" s="173"/>
      <c r="B72" s="174" t="s">
        <v>87</v>
      </c>
      <c r="C72" s="230" t="s">
        <v>256</v>
      </c>
      <c r="D72" s="176">
        <f>[13]รวม!$G$104</f>
        <v>0</v>
      </c>
      <c r="E72" s="177">
        <f>[13]รวม!$H$104</f>
        <v>0</v>
      </c>
      <c r="F72" s="177"/>
      <c r="G72" s="177">
        <f>[13]รวม!$I$104</f>
        <v>0</v>
      </c>
      <c r="H72" s="176">
        <f t="shared" si="4"/>
        <v>0</v>
      </c>
      <c r="M72" s="216"/>
      <c r="N72" s="238" t="e">
        <f t="shared" si="5"/>
        <v>#VALUE!</v>
      </c>
    </row>
    <row r="73" spans="1:15" x14ac:dyDescent="0.6">
      <c r="A73" s="173" t="s">
        <v>254</v>
      </c>
      <c r="B73" s="174" t="s">
        <v>79</v>
      </c>
      <c r="C73" s="230" t="s">
        <v>256</v>
      </c>
      <c r="D73" s="176">
        <f>[13]รวม!$G$108</f>
        <v>0</v>
      </c>
      <c r="E73" s="177">
        <f>[13]รวม!$H$108</f>
        <v>0</v>
      </c>
      <c r="F73" s="177"/>
      <c r="G73" s="177">
        <f>[13]รวม!$I$108</f>
        <v>0</v>
      </c>
      <c r="H73" s="176">
        <f t="shared" si="4"/>
        <v>0</v>
      </c>
      <c r="M73" s="231"/>
      <c r="N73" s="238" t="e">
        <f t="shared" si="5"/>
        <v>#VALUE!</v>
      </c>
    </row>
    <row r="74" spans="1:15" x14ac:dyDescent="0.6">
      <c r="A74" s="182" t="s">
        <v>255</v>
      </c>
      <c r="B74" s="183" t="s">
        <v>80</v>
      </c>
      <c r="C74" s="230" t="s">
        <v>256</v>
      </c>
      <c r="D74" s="184">
        <f>[13]รวม!$G$115</f>
        <v>0</v>
      </c>
      <c r="E74" s="242">
        <f>[13]รวม!$H$115</f>
        <v>233660</v>
      </c>
      <c r="F74" s="242"/>
      <c r="G74" s="242">
        <f>[13]รวม!$I$115</f>
        <v>0</v>
      </c>
      <c r="H74" s="176">
        <f t="shared" si="4"/>
        <v>233660</v>
      </c>
      <c r="M74" s="231">
        <f>274200</f>
        <v>274200</v>
      </c>
      <c r="N74" s="238" t="e">
        <f t="shared" si="5"/>
        <v>#VALUE!</v>
      </c>
    </row>
    <row r="75" spans="1:15" ht="24" customHeight="1" x14ac:dyDescent="0.6">
      <c r="A75" s="364" t="s">
        <v>5</v>
      </c>
      <c r="B75" s="365"/>
      <c r="C75" s="366"/>
      <c r="D75" s="239">
        <f t="shared" ref="D75:G75" si="6">SUM(D65:D74)</f>
        <v>594529</v>
      </c>
      <c r="E75" s="239">
        <f t="shared" si="6"/>
        <v>1650673.1</v>
      </c>
      <c r="F75" s="239">
        <f t="shared" si="6"/>
        <v>0</v>
      </c>
      <c r="G75" s="239">
        <f t="shared" si="6"/>
        <v>64445</v>
      </c>
      <c r="H75" s="239">
        <f>SUM(H66:H74)</f>
        <v>2309647.1</v>
      </c>
      <c r="I75" s="48">
        <f>H75-[13]รวม!$I$117</f>
        <v>0</v>
      </c>
      <c r="M75" s="240">
        <f t="shared" ref="M75" si="7">SUM(M65:M74)</f>
        <v>1440803</v>
      </c>
      <c r="N75" s="238" t="e">
        <f>SUM(N66:N74)</f>
        <v>#VALUE!</v>
      </c>
    </row>
    <row r="76" spans="1:15" x14ac:dyDescent="0.6">
      <c r="A76" s="188"/>
      <c r="B76" s="189"/>
      <c r="C76" s="191"/>
      <c r="D76" s="191"/>
      <c r="E76" s="198"/>
      <c r="F76" s="198"/>
      <c r="G76" s="198"/>
    </row>
    <row r="77" spans="1:15" x14ac:dyDescent="0.6">
      <c r="A77" s="188"/>
      <c r="B77" s="189"/>
      <c r="C77" s="191"/>
      <c r="D77" s="191"/>
      <c r="E77" s="198"/>
      <c r="F77" s="198"/>
      <c r="G77" s="198"/>
    </row>
    <row r="78" spans="1:15" x14ac:dyDescent="0.6">
      <c r="A78" s="188"/>
      <c r="B78" s="189"/>
      <c r="C78" s="191"/>
      <c r="D78" s="191"/>
      <c r="E78" s="198"/>
      <c r="F78" s="198"/>
      <c r="G78" s="198"/>
    </row>
    <row r="79" spans="1:15" x14ac:dyDescent="0.6">
      <c r="A79" s="188"/>
      <c r="B79" s="189"/>
      <c r="C79" s="191"/>
      <c r="D79" s="191"/>
      <c r="E79" s="198"/>
      <c r="F79" s="198"/>
      <c r="G79" s="198"/>
    </row>
    <row r="80" spans="1:15" x14ac:dyDescent="0.6">
      <c r="A80" s="188"/>
      <c r="B80" s="189"/>
      <c r="C80" s="191"/>
      <c r="D80" s="191"/>
      <c r="E80" s="198"/>
      <c r="F80" s="198"/>
      <c r="G80" s="198"/>
    </row>
    <row r="81" spans="1:14" x14ac:dyDescent="0.6">
      <c r="A81" s="188"/>
      <c r="B81" s="189"/>
      <c r="C81" s="191"/>
      <c r="D81" s="191"/>
      <c r="E81" s="198"/>
      <c r="F81" s="198"/>
      <c r="G81" s="198"/>
    </row>
    <row r="82" spans="1:14" x14ac:dyDescent="0.6">
      <c r="A82" s="188"/>
      <c r="B82" s="189"/>
      <c r="C82" s="191"/>
      <c r="D82" s="191"/>
      <c r="E82" s="198"/>
      <c r="F82" s="198"/>
      <c r="G82" s="198"/>
    </row>
    <row r="83" spans="1:14" x14ac:dyDescent="0.6">
      <c r="A83" s="188"/>
      <c r="B83" s="189"/>
      <c r="C83" s="191"/>
      <c r="D83" s="191"/>
      <c r="E83" s="198"/>
      <c r="F83" s="198"/>
      <c r="G83" s="198"/>
    </row>
    <row r="84" spans="1:14" x14ac:dyDescent="0.6">
      <c r="A84" s="188"/>
      <c r="B84" s="189"/>
      <c r="C84" s="191"/>
      <c r="D84" s="191"/>
      <c r="E84" s="198"/>
      <c r="F84" s="198"/>
      <c r="G84" s="198"/>
    </row>
    <row r="85" spans="1:14" x14ac:dyDescent="0.6">
      <c r="A85" s="188"/>
      <c r="B85" s="189"/>
      <c r="C85" s="191"/>
      <c r="D85" s="191"/>
      <c r="E85" s="198"/>
      <c r="F85" s="198"/>
      <c r="G85" s="198"/>
    </row>
    <row r="86" spans="1:14" x14ac:dyDescent="0.6">
      <c r="A86" s="188"/>
      <c r="B86" s="189"/>
      <c r="C86" s="191"/>
      <c r="D86" s="191"/>
      <c r="E86" s="198"/>
      <c r="F86" s="198"/>
      <c r="G86" s="198"/>
    </row>
    <row r="87" spans="1:14" x14ac:dyDescent="0.6">
      <c r="A87" s="188"/>
      <c r="B87" s="189"/>
      <c r="C87" s="191"/>
      <c r="D87" s="191"/>
      <c r="E87" s="198"/>
      <c r="F87" s="198"/>
      <c r="G87" s="198"/>
    </row>
    <row r="88" spans="1:14" x14ac:dyDescent="0.6">
      <c r="A88" s="188"/>
      <c r="B88" s="189"/>
      <c r="C88" s="191"/>
      <c r="D88" s="191"/>
      <c r="E88" s="198"/>
      <c r="F88" s="198"/>
      <c r="G88" s="198"/>
    </row>
    <row r="89" spans="1:14" x14ac:dyDescent="0.6">
      <c r="A89" s="188"/>
      <c r="B89" s="189"/>
      <c r="C89" s="191"/>
      <c r="D89" s="191"/>
      <c r="E89" s="198"/>
      <c r="F89" s="198"/>
      <c r="G89" s="198"/>
    </row>
    <row r="90" spans="1:14" ht="27.75" x14ac:dyDescent="0.6">
      <c r="A90" s="363" t="s">
        <v>0</v>
      </c>
      <c r="B90" s="363"/>
      <c r="C90" s="363"/>
      <c r="D90" s="363"/>
      <c r="E90" s="363"/>
      <c r="F90" s="363"/>
      <c r="G90" s="363"/>
      <c r="H90" s="363"/>
    </row>
    <row r="91" spans="1:14" ht="27.75" x14ac:dyDescent="0.6">
      <c r="A91" s="363" t="s">
        <v>99</v>
      </c>
      <c r="B91" s="363"/>
      <c r="C91" s="363"/>
      <c r="D91" s="363"/>
      <c r="E91" s="363"/>
      <c r="F91" s="363"/>
      <c r="G91" s="363"/>
      <c r="H91" s="363"/>
    </row>
    <row r="92" spans="1:14" ht="27.75" x14ac:dyDescent="0.6">
      <c r="A92" s="367" t="s">
        <v>399</v>
      </c>
      <c r="B92" s="367"/>
      <c r="C92" s="367"/>
      <c r="D92" s="367"/>
      <c r="E92" s="367"/>
      <c r="F92" s="367"/>
      <c r="G92" s="367"/>
      <c r="H92" s="367"/>
    </row>
    <row r="93" spans="1:14" ht="49.5" x14ac:dyDescent="0.6">
      <c r="A93" s="166" t="s">
        <v>250</v>
      </c>
      <c r="B93" s="167" t="s">
        <v>233</v>
      </c>
      <c r="C93" s="168" t="s">
        <v>230</v>
      </c>
      <c r="D93" s="168" t="s">
        <v>98</v>
      </c>
      <c r="E93" s="168" t="s">
        <v>100</v>
      </c>
      <c r="F93" s="168" t="s">
        <v>101</v>
      </c>
      <c r="G93" s="168" t="s">
        <v>102</v>
      </c>
      <c r="H93" s="168" t="s">
        <v>5</v>
      </c>
      <c r="M93" s="237" t="s">
        <v>56</v>
      </c>
      <c r="N93" s="241" t="s">
        <v>37</v>
      </c>
    </row>
    <row r="94" spans="1:14" x14ac:dyDescent="0.6">
      <c r="A94" s="173" t="s">
        <v>251</v>
      </c>
      <c r="B94" s="174" t="s">
        <v>67</v>
      </c>
      <c r="C94" s="230" t="s">
        <v>256</v>
      </c>
      <c r="D94" s="176"/>
      <c r="E94" s="177"/>
      <c r="F94" s="177">
        <f>[13]รวม!$J$22</f>
        <v>0</v>
      </c>
      <c r="G94" s="177"/>
      <c r="H94" s="176">
        <f t="shared" ref="H94:H96" si="8">SUM(D94:G94)</f>
        <v>0</v>
      </c>
      <c r="M94" s="216"/>
      <c r="N94" s="241"/>
    </row>
    <row r="95" spans="1:14" x14ac:dyDescent="0.6">
      <c r="A95" s="173"/>
      <c r="B95" s="174" t="s">
        <v>68</v>
      </c>
      <c r="C95" s="230" t="s">
        <v>256</v>
      </c>
      <c r="D95" s="176"/>
      <c r="E95" s="177"/>
      <c r="F95" s="177">
        <f>[13]รวม!$J$29</f>
        <v>0</v>
      </c>
      <c r="G95" s="177"/>
      <c r="H95" s="176">
        <f t="shared" si="8"/>
        <v>0</v>
      </c>
      <c r="M95" s="216"/>
      <c r="N95" s="241"/>
    </row>
    <row r="96" spans="1:14" x14ac:dyDescent="0.6">
      <c r="A96" s="173" t="s">
        <v>252</v>
      </c>
      <c r="B96" s="174" t="s">
        <v>40</v>
      </c>
      <c r="C96" s="230" t="s">
        <v>256</v>
      </c>
      <c r="D96" s="176"/>
      <c r="E96" s="177"/>
      <c r="F96" s="177">
        <f>[13]รวม!$J$38</f>
        <v>0</v>
      </c>
      <c r="G96" s="177"/>
      <c r="H96" s="176">
        <f t="shared" si="8"/>
        <v>0</v>
      </c>
      <c r="M96" s="216"/>
      <c r="N96" s="241"/>
    </row>
    <row r="97" spans="1:14" x14ac:dyDescent="0.6">
      <c r="A97" s="173"/>
      <c r="B97" s="174" t="s">
        <v>47</v>
      </c>
      <c r="C97" s="230" t="s">
        <v>256</v>
      </c>
      <c r="D97" s="176"/>
      <c r="E97" s="177"/>
      <c r="F97" s="177">
        <f>[13]รวม!$J$44</f>
        <v>550066</v>
      </c>
      <c r="G97" s="177"/>
      <c r="H97" s="176">
        <f>SUM(D97:G97)</f>
        <v>550066</v>
      </c>
      <c r="M97" s="216">
        <f>85000</f>
        <v>85000</v>
      </c>
      <c r="N97" s="238" t="e">
        <f>C97-H97</f>
        <v>#VALUE!</v>
      </c>
    </row>
    <row r="98" spans="1:14" x14ac:dyDescent="0.6">
      <c r="A98" s="173"/>
      <c r="B98" s="174" t="s">
        <v>39</v>
      </c>
      <c r="C98" s="230" t="s">
        <v>256</v>
      </c>
      <c r="D98" s="176"/>
      <c r="E98" s="177"/>
      <c r="F98" s="177">
        <f>[13]รวม!$J$63</f>
        <v>14829</v>
      </c>
      <c r="G98" s="177"/>
      <c r="H98" s="176">
        <f>SUM(D98:G98)</f>
        <v>14829</v>
      </c>
      <c r="M98" s="216"/>
      <c r="N98" s="241"/>
    </row>
    <row r="99" spans="1:14" x14ac:dyDescent="0.6">
      <c r="A99" s="173"/>
      <c r="B99" s="174" t="s">
        <v>69</v>
      </c>
      <c r="C99" s="230" t="s">
        <v>256</v>
      </c>
      <c r="D99" s="176"/>
      <c r="E99" s="177"/>
      <c r="F99" s="177">
        <f>[13]รวม!$J$70</f>
        <v>0</v>
      </c>
      <c r="G99" s="177"/>
      <c r="H99" s="176">
        <f t="shared" ref="H99:H103" si="9">SUM(D99:G99)</f>
        <v>0</v>
      </c>
      <c r="M99" s="216"/>
      <c r="N99" s="241"/>
    </row>
    <row r="100" spans="1:14" x14ac:dyDescent="0.6">
      <c r="A100" s="173" t="s">
        <v>253</v>
      </c>
      <c r="B100" s="174" t="s">
        <v>86</v>
      </c>
      <c r="C100" s="230" t="s">
        <v>256</v>
      </c>
      <c r="D100" s="176"/>
      <c r="E100" s="177"/>
      <c r="F100" s="177">
        <f>[13]รวม!$J$90</f>
        <v>0</v>
      </c>
      <c r="G100" s="177"/>
      <c r="H100" s="176">
        <f t="shared" si="9"/>
        <v>0</v>
      </c>
      <c r="M100" s="216"/>
      <c r="N100" s="241"/>
    </row>
    <row r="101" spans="1:14" x14ac:dyDescent="0.6">
      <c r="A101" s="173"/>
      <c r="B101" s="174" t="s">
        <v>87</v>
      </c>
      <c r="C101" s="230" t="s">
        <v>256</v>
      </c>
      <c r="D101" s="176"/>
      <c r="E101" s="177"/>
      <c r="F101" s="177">
        <f>[13]รวม!$J$104</f>
        <v>0</v>
      </c>
      <c r="G101" s="177"/>
      <c r="H101" s="176">
        <f t="shared" si="9"/>
        <v>0</v>
      </c>
      <c r="M101" s="216"/>
      <c r="N101" s="241"/>
    </row>
    <row r="102" spans="1:14" x14ac:dyDescent="0.6">
      <c r="A102" s="173" t="s">
        <v>254</v>
      </c>
      <c r="B102" s="174" t="s">
        <v>79</v>
      </c>
      <c r="C102" s="230" t="s">
        <v>256</v>
      </c>
      <c r="D102" s="176"/>
      <c r="E102" s="177"/>
      <c r="F102" s="177">
        <f>[13]รวม!$J$108</f>
        <v>0</v>
      </c>
      <c r="G102" s="177"/>
      <c r="H102" s="176">
        <f t="shared" si="9"/>
        <v>0</v>
      </c>
      <c r="M102" s="231"/>
      <c r="N102" s="241"/>
    </row>
    <row r="103" spans="1:14" x14ac:dyDescent="0.6">
      <c r="A103" s="182" t="s">
        <v>255</v>
      </c>
      <c r="B103" s="183" t="s">
        <v>80</v>
      </c>
      <c r="C103" s="230" t="s">
        <v>256</v>
      </c>
      <c r="D103" s="184"/>
      <c r="E103" s="242"/>
      <c r="F103" s="242">
        <f>[13]รวม!$J$115</f>
        <v>0</v>
      </c>
      <c r="G103" s="242"/>
      <c r="H103" s="176">
        <f t="shared" si="9"/>
        <v>0</v>
      </c>
      <c r="M103" s="231">
        <v>70000</v>
      </c>
      <c r="N103" s="241"/>
    </row>
    <row r="104" spans="1:14" ht="24" customHeight="1" x14ac:dyDescent="0.6">
      <c r="A104" s="364" t="s">
        <v>5</v>
      </c>
      <c r="B104" s="365"/>
      <c r="C104" s="366"/>
      <c r="D104" s="239">
        <f t="shared" ref="D104:G104" si="10">SUM(D94:D103)</f>
        <v>0</v>
      </c>
      <c r="E104" s="239">
        <f t="shared" si="10"/>
        <v>0</v>
      </c>
      <c r="F104" s="239">
        <f>SUM(F94:F103)</f>
        <v>564895</v>
      </c>
      <c r="G104" s="239">
        <f t="shared" si="10"/>
        <v>0</v>
      </c>
      <c r="H104" s="239">
        <f>SUM(H94:H103)</f>
        <v>564895</v>
      </c>
      <c r="I104" s="48">
        <f>H104-[13]รวม!$J$117</f>
        <v>0</v>
      </c>
      <c r="M104" s="240">
        <f t="shared" ref="M104" si="11">SUM(M94:M103)</f>
        <v>155000</v>
      </c>
      <c r="N104" s="238" t="e">
        <f>SUM(N97:N103)</f>
        <v>#VALUE!</v>
      </c>
    </row>
    <row r="105" spans="1:14" x14ac:dyDescent="0.6">
      <c r="A105" s="188"/>
      <c r="B105" s="189"/>
      <c r="C105" s="191"/>
      <c r="D105" s="191"/>
      <c r="E105" s="198"/>
      <c r="F105" s="198"/>
      <c r="G105" s="198"/>
    </row>
    <row r="106" spans="1:14" x14ac:dyDescent="0.6">
      <c r="A106" s="188"/>
      <c r="B106" s="189"/>
      <c r="C106" s="191"/>
      <c r="D106" s="191"/>
      <c r="E106" s="198"/>
      <c r="F106" s="198"/>
      <c r="G106" s="198"/>
    </row>
    <row r="107" spans="1:14" x14ac:dyDescent="0.6">
      <c r="A107" s="188"/>
      <c r="B107" s="189"/>
      <c r="C107" s="191"/>
      <c r="D107" s="191"/>
      <c r="E107" s="198"/>
      <c r="F107" s="198"/>
      <c r="G107" s="198"/>
    </row>
    <row r="108" spans="1:14" x14ac:dyDescent="0.6">
      <c r="A108" s="188"/>
      <c r="B108" s="189"/>
      <c r="C108" s="191"/>
      <c r="D108" s="191"/>
      <c r="E108" s="198"/>
      <c r="F108" s="198"/>
      <c r="G108" s="198"/>
    </row>
    <row r="109" spans="1:14" x14ac:dyDescent="0.6">
      <c r="A109" s="188"/>
      <c r="B109" s="189"/>
      <c r="C109" s="191"/>
      <c r="D109" s="191"/>
      <c r="E109" s="198"/>
      <c r="F109" s="198"/>
      <c r="G109" s="198"/>
    </row>
    <row r="110" spans="1:14" x14ac:dyDescent="0.6">
      <c r="A110" s="188"/>
      <c r="B110" s="189"/>
      <c r="C110" s="191"/>
      <c r="D110" s="191"/>
      <c r="E110" s="198"/>
      <c r="F110" s="198"/>
      <c r="G110" s="198"/>
    </row>
    <row r="111" spans="1:14" x14ac:dyDescent="0.6">
      <c r="A111" s="188"/>
      <c r="B111" s="189"/>
      <c r="C111" s="191"/>
      <c r="D111" s="191"/>
      <c r="E111" s="198"/>
      <c r="F111" s="198"/>
      <c r="G111" s="198"/>
    </row>
    <row r="112" spans="1:14" x14ac:dyDescent="0.6">
      <c r="A112" s="188"/>
      <c r="B112" s="189"/>
      <c r="C112" s="191"/>
      <c r="D112" s="191"/>
      <c r="E112" s="198"/>
      <c r="F112" s="198"/>
      <c r="G112" s="198"/>
    </row>
    <row r="113" spans="1:15" x14ac:dyDescent="0.6">
      <c r="A113" s="188"/>
      <c r="B113" s="189"/>
      <c r="C113" s="191"/>
      <c r="D113" s="191"/>
      <c r="E113" s="198"/>
      <c r="F113" s="198"/>
      <c r="G113" s="198"/>
    </row>
    <row r="114" spans="1:15" x14ac:dyDescent="0.6">
      <c r="A114" s="188"/>
      <c r="B114" s="189"/>
      <c r="C114" s="191"/>
      <c r="D114" s="191"/>
      <c r="E114" s="198"/>
      <c r="F114" s="198"/>
      <c r="G114" s="198"/>
    </row>
    <row r="115" spans="1:15" x14ac:dyDescent="0.6">
      <c r="A115" s="188"/>
      <c r="B115" s="189"/>
      <c r="C115" s="191"/>
      <c r="D115" s="191"/>
      <c r="E115" s="198"/>
      <c r="F115" s="198"/>
      <c r="G115" s="198"/>
    </row>
    <row r="116" spans="1:15" x14ac:dyDescent="0.6">
      <c r="A116" s="188"/>
      <c r="B116" s="189"/>
      <c r="C116" s="191"/>
      <c r="D116" s="191"/>
      <c r="E116" s="198"/>
      <c r="F116" s="198"/>
      <c r="G116" s="198"/>
    </row>
    <row r="117" spans="1:15" x14ac:dyDescent="0.6">
      <c r="A117" s="188"/>
      <c r="B117" s="189"/>
      <c r="C117" s="191"/>
      <c r="D117" s="191"/>
      <c r="E117" s="198"/>
      <c r="F117" s="198"/>
      <c r="G117" s="198"/>
    </row>
    <row r="118" spans="1:15" x14ac:dyDescent="0.6">
      <c r="A118" s="188"/>
      <c r="B118" s="189"/>
      <c r="C118" s="191"/>
      <c r="D118" s="191"/>
      <c r="E118" s="198"/>
      <c r="F118" s="198"/>
      <c r="G118" s="198"/>
    </row>
    <row r="119" spans="1:15" ht="27.75" x14ac:dyDescent="0.6">
      <c r="A119" s="363" t="s">
        <v>0</v>
      </c>
      <c r="B119" s="363"/>
      <c r="C119" s="363"/>
      <c r="D119" s="363"/>
      <c r="E119" s="363"/>
      <c r="F119" s="363"/>
      <c r="G119" s="363"/>
      <c r="H119" s="363"/>
      <c r="I119" s="363"/>
    </row>
    <row r="120" spans="1:15" ht="27.75" x14ac:dyDescent="0.6">
      <c r="A120" s="363" t="s">
        <v>107</v>
      </c>
      <c r="B120" s="363"/>
      <c r="C120" s="363"/>
      <c r="D120" s="363"/>
      <c r="E120" s="363"/>
      <c r="F120" s="363"/>
      <c r="G120" s="363"/>
      <c r="H120" s="363"/>
      <c r="I120" s="363"/>
    </row>
    <row r="121" spans="1:15" ht="27.75" x14ac:dyDescent="0.6">
      <c r="A121" s="367" t="s">
        <v>399</v>
      </c>
      <c r="B121" s="367"/>
      <c r="C121" s="367"/>
      <c r="D121" s="367"/>
      <c r="E121" s="367"/>
      <c r="F121" s="367"/>
      <c r="G121" s="367"/>
      <c r="H121" s="367"/>
      <c r="I121" s="367"/>
    </row>
    <row r="122" spans="1:15" ht="49.5" x14ac:dyDescent="0.6">
      <c r="A122" s="166" t="s">
        <v>250</v>
      </c>
      <c r="B122" s="167" t="s">
        <v>233</v>
      </c>
      <c r="C122" s="168" t="s">
        <v>230</v>
      </c>
      <c r="D122" s="168" t="s">
        <v>98</v>
      </c>
      <c r="E122" s="168" t="s">
        <v>51</v>
      </c>
      <c r="F122" s="168" t="s">
        <v>103</v>
      </c>
      <c r="G122" s="168" t="s">
        <v>104</v>
      </c>
      <c r="H122" s="244" t="s">
        <v>105</v>
      </c>
      <c r="I122" s="168" t="s">
        <v>5</v>
      </c>
      <c r="M122" s="237" t="s">
        <v>56</v>
      </c>
      <c r="N122" s="241" t="s">
        <v>37</v>
      </c>
    </row>
    <row r="123" spans="1:15" x14ac:dyDescent="0.6">
      <c r="A123" s="173" t="s">
        <v>251</v>
      </c>
      <c r="B123" s="174" t="s">
        <v>67</v>
      </c>
      <c r="C123" s="230" t="s">
        <v>256</v>
      </c>
      <c r="D123" s="176">
        <f>[13]รวม!$K$22</f>
        <v>0</v>
      </c>
      <c r="E123" s="177">
        <f>[13]รวม!$L$22</f>
        <v>0</v>
      </c>
      <c r="F123" s="177"/>
      <c r="G123" s="177">
        <f>[13]รวม!$M$22</f>
        <v>0</v>
      </c>
      <c r="H123" s="94"/>
      <c r="I123" s="176">
        <f t="shared" ref="I123:I132" si="12">SUM(D123:H123)</f>
        <v>0</v>
      </c>
      <c r="M123" s="216"/>
      <c r="N123" s="241"/>
    </row>
    <row r="124" spans="1:15" x14ac:dyDescent="0.6">
      <c r="A124" s="173"/>
      <c r="B124" s="174" t="s">
        <v>68</v>
      </c>
      <c r="C124" s="230" t="s">
        <v>256</v>
      </c>
      <c r="D124" s="176">
        <f>[13]รวม!$K$29</f>
        <v>991680</v>
      </c>
      <c r="E124" s="177">
        <f>[13]รวม!$L$29</f>
        <v>0</v>
      </c>
      <c r="F124" s="177"/>
      <c r="G124" s="177">
        <f>[13]รวม!$M$29</f>
        <v>0</v>
      </c>
      <c r="H124" s="94"/>
      <c r="I124" s="176">
        <f t="shared" si="12"/>
        <v>991680</v>
      </c>
      <c r="M124" s="216">
        <v>584040</v>
      </c>
      <c r="N124" s="238" t="e">
        <f t="shared" ref="N124:N132" si="13">C124-I124</f>
        <v>#VALUE!</v>
      </c>
    </row>
    <row r="125" spans="1:15" x14ac:dyDescent="0.6">
      <c r="A125" s="173" t="s">
        <v>252</v>
      </c>
      <c r="B125" s="174" t="s">
        <v>40</v>
      </c>
      <c r="C125" s="230" t="s">
        <v>256</v>
      </c>
      <c r="D125" s="176">
        <f>[13]รวม!$K$38</f>
        <v>93600</v>
      </c>
      <c r="E125" s="177">
        <f>[13]รวม!$L$38</f>
        <v>0</v>
      </c>
      <c r="F125" s="177"/>
      <c r="G125" s="177">
        <f>[13]รวม!$M$38</f>
        <v>0</v>
      </c>
      <c r="H125" s="94"/>
      <c r="I125" s="176">
        <f t="shared" si="12"/>
        <v>93600</v>
      </c>
      <c r="M125" s="216">
        <v>55000</v>
      </c>
      <c r="N125" s="238" t="e">
        <f t="shared" si="13"/>
        <v>#VALUE!</v>
      </c>
      <c r="O125" s="165"/>
    </row>
    <row r="126" spans="1:15" x14ac:dyDescent="0.6">
      <c r="A126" s="173"/>
      <c r="B126" s="174" t="s">
        <v>47</v>
      </c>
      <c r="C126" s="230" t="s">
        <v>256</v>
      </c>
      <c r="D126" s="176">
        <f>[13]รวม!$K$44</f>
        <v>286960</v>
      </c>
      <c r="E126" s="177">
        <f>[13]รวม!$L$44</f>
        <v>0</v>
      </c>
      <c r="F126" s="177"/>
      <c r="G126" s="177">
        <f>[13]รวม!$M$44</f>
        <v>613800</v>
      </c>
      <c r="H126" s="94"/>
      <c r="I126" s="176">
        <f t="shared" si="12"/>
        <v>900760</v>
      </c>
      <c r="M126" s="216">
        <f>70000+271680</f>
        <v>341680</v>
      </c>
      <c r="N126" s="238" t="e">
        <f t="shared" si="13"/>
        <v>#VALUE!</v>
      </c>
    </row>
    <row r="127" spans="1:15" x14ac:dyDescent="0.6">
      <c r="A127" s="173"/>
      <c r="B127" s="174" t="s">
        <v>39</v>
      </c>
      <c r="C127" s="230" t="s">
        <v>256</v>
      </c>
      <c r="D127" s="176">
        <f>[13]รวม!$K$63</f>
        <v>501538</v>
      </c>
      <c r="E127" s="177">
        <f>[13]รวม!$L$63</f>
        <v>0</v>
      </c>
      <c r="F127" s="177"/>
      <c r="G127" s="177">
        <f>[13]รวม!$M$63</f>
        <v>0</v>
      </c>
      <c r="H127" s="94"/>
      <c r="I127" s="176">
        <f t="shared" si="12"/>
        <v>501538</v>
      </c>
      <c r="M127" s="216">
        <f>120000</f>
        <v>120000</v>
      </c>
      <c r="N127" s="238" t="e">
        <f t="shared" si="13"/>
        <v>#VALUE!</v>
      </c>
      <c r="O127" s="243" t="e">
        <f>#REF!-#REF!</f>
        <v>#REF!</v>
      </c>
    </row>
    <row r="128" spans="1:15" x14ac:dyDescent="0.6">
      <c r="A128" s="173"/>
      <c r="B128" s="174" t="s">
        <v>69</v>
      </c>
      <c r="C128" s="230" t="s">
        <v>256</v>
      </c>
      <c r="D128" s="176">
        <f>[13]รวม!$K$70</f>
        <v>15408</v>
      </c>
      <c r="E128" s="177">
        <f>[13]รวม!$L$70</f>
        <v>0</v>
      </c>
      <c r="F128" s="177"/>
      <c r="G128" s="177">
        <f>[13]รวม!$M$70</f>
        <v>0</v>
      </c>
      <c r="H128" s="94"/>
      <c r="I128" s="176">
        <f t="shared" si="12"/>
        <v>15408</v>
      </c>
      <c r="M128" s="216"/>
      <c r="N128" s="238" t="e">
        <f t="shared" si="13"/>
        <v>#VALUE!</v>
      </c>
      <c r="O128" s="48"/>
    </row>
    <row r="129" spans="1:15" x14ac:dyDescent="0.6">
      <c r="A129" s="173" t="s">
        <v>253</v>
      </c>
      <c r="B129" s="174" t="s">
        <v>86</v>
      </c>
      <c r="C129" s="230" t="s">
        <v>256</v>
      </c>
      <c r="D129" s="176">
        <f>[13]รวม!$K$90</f>
        <v>144200</v>
      </c>
      <c r="E129" s="177">
        <f>[13]รวม!$L$90</f>
        <v>0</v>
      </c>
      <c r="F129" s="177"/>
      <c r="G129" s="177">
        <f>[13]รวม!$M$90</f>
        <v>0</v>
      </c>
      <c r="H129" s="94"/>
      <c r="I129" s="176">
        <f t="shared" si="12"/>
        <v>144200</v>
      </c>
      <c r="M129" s="216">
        <v>69500</v>
      </c>
      <c r="N129" s="238" t="e">
        <f t="shared" si="13"/>
        <v>#VALUE!</v>
      </c>
    </row>
    <row r="130" spans="1:15" x14ac:dyDescent="0.6">
      <c r="A130" s="173"/>
      <c r="B130" s="174" t="s">
        <v>87</v>
      </c>
      <c r="C130" s="230" t="s">
        <v>256</v>
      </c>
      <c r="D130" s="176">
        <f>[13]รวม!$K$104</f>
        <v>0</v>
      </c>
      <c r="E130" s="177">
        <f>[13]รวม!$L$104</f>
        <v>1566000</v>
      </c>
      <c r="F130" s="177"/>
      <c r="G130" s="177">
        <f>[13]รวม!$M$104</f>
        <v>0</v>
      </c>
      <c r="H130" s="94"/>
      <c r="I130" s="176">
        <f t="shared" si="12"/>
        <v>1566000</v>
      </c>
      <c r="L130" s="48"/>
      <c r="M130" s="216">
        <v>100000</v>
      </c>
      <c r="N130" s="238" t="e">
        <f t="shared" si="13"/>
        <v>#VALUE!</v>
      </c>
      <c r="O130" s="48" t="e">
        <f>#REF!-#REF!</f>
        <v>#REF!</v>
      </c>
    </row>
    <row r="131" spans="1:15" x14ac:dyDescent="0.6">
      <c r="A131" s="173" t="s">
        <v>254</v>
      </c>
      <c r="B131" s="174" t="s">
        <v>79</v>
      </c>
      <c r="C131" s="230" t="s">
        <v>256</v>
      </c>
      <c r="D131" s="176">
        <f>[13]รวม!$K$108</f>
        <v>0</v>
      </c>
      <c r="E131" s="177">
        <f>[13]รวม!$L$108</f>
        <v>0</v>
      </c>
      <c r="F131" s="177"/>
      <c r="G131" s="177">
        <f>[13]รวม!$M$108</f>
        <v>0</v>
      </c>
      <c r="H131" s="94"/>
      <c r="I131" s="176">
        <f t="shared" si="12"/>
        <v>0</v>
      </c>
      <c r="M131" s="231"/>
      <c r="N131" s="238" t="e">
        <f t="shared" si="13"/>
        <v>#VALUE!</v>
      </c>
    </row>
    <row r="132" spans="1:15" x14ac:dyDescent="0.6">
      <c r="A132" s="182" t="s">
        <v>255</v>
      </c>
      <c r="B132" s="183" t="s">
        <v>80</v>
      </c>
      <c r="C132" s="230" t="s">
        <v>256</v>
      </c>
      <c r="D132" s="184">
        <f>[13]รวม!$K$115</f>
        <v>0</v>
      </c>
      <c r="E132" s="242">
        <f>[13]รวม!$L$115</f>
        <v>0</v>
      </c>
      <c r="F132" s="242"/>
      <c r="G132" s="242">
        <f>[13]รวม!$M$115</f>
        <v>0</v>
      </c>
      <c r="H132" s="245"/>
      <c r="I132" s="176">
        <f t="shared" si="12"/>
        <v>0</v>
      </c>
      <c r="M132" s="231">
        <v>617890</v>
      </c>
      <c r="N132" s="238" t="e">
        <f t="shared" si="13"/>
        <v>#VALUE!</v>
      </c>
    </row>
    <row r="133" spans="1:15" ht="24" customHeight="1" x14ac:dyDescent="0.6">
      <c r="A133" s="364" t="s">
        <v>5</v>
      </c>
      <c r="B133" s="365"/>
      <c r="C133" s="366"/>
      <c r="D133" s="239">
        <f t="shared" ref="D133:H133" si="14">SUM(D123:D132)</f>
        <v>2033386</v>
      </c>
      <c r="E133" s="239">
        <f t="shared" si="14"/>
        <v>1566000</v>
      </c>
      <c r="F133" s="239">
        <f t="shared" si="14"/>
        <v>0</v>
      </c>
      <c r="G133" s="239">
        <f t="shared" si="14"/>
        <v>613800</v>
      </c>
      <c r="H133" s="107">
        <f t="shared" si="14"/>
        <v>0</v>
      </c>
      <c r="I133" s="239">
        <f>SUM(I124:I132)</f>
        <v>4213186</v>
      </c>
      <c r="J133" s="48">
        <f>I133-[13]รวม!$M$117</f>
        <v>0</v>
      </c>
      <c r="M133" s="240">
        <f t="shared" ref="M133" si="15">SUM(M123:M132)</f>
        <v>1888110</v>
      </c>
      <c r="N133" s="238" t="e">
        <f>SUM(N124:N132)</f>
        <v>#VALUE!</v>
      </c>
    </row>
    <row r="134" spans="1:15" x14ac:dyDescent="0.6">
      <c r="A134" s="188"/>
      <c r="B134" s="189"/>
      <c r="C134" s="191"/>
      <c r="D134" s="191"/>
      <c r="E134" s="198"/>
      <c r="F134" s="198"/>
      <c r="G134" s="198"/>
    </row>
    <row r="135" spans="1:15" x14ac:dyDescent="0.6">
      <c r="A135" s="188"/>
      <c r="B135" s="189"/>
      <c r="C135" s="191"/>
      <c r="D135" s="191"/>
      <c r="E135" s="198"/>
      <c r="F135" s="198"/>
      <c r="G135" s="198"/>
    </row>
    <row r="136" spans="1:15" x14ac:dyDescent="0.6">
      <c r="A136" s="188"/>
      <c r="B136" s="189"/>
      <c r="C136" s="191"/>
      <c r="D136" s="191"/>
      <c r="E136" s="198"/>
      <c r="F136" s="198"/>
      <c r="G136" s="198"/>
    </row>
    <row r="137" spans="1:15" x14ac:dyDescent="0.6">
      <c r="A137" s="188"/>
      <c r="B137" s="189"/>
      <c r="C137" s="191"/>
      <c r="D137" s="191"/>
      <c r="E137" s="198"/>
      <c r="F137" s="198"/>
      <c r="G137" s="198"/>
    </row>
    <row r="138" spans="1:15" x14ac:dyDescent="0.6">
      <c r="A138" s="188"/>
      <c r="B138" s="189"/>
      <c r="C138" s="191"/>
      <c r="D138" s="191"/>
      <c r="E138" s="198"/>
      <c r="F138" s="198"/>
      <c r="G138" s="198"/>
    </row>
    <row r="139" spans="1:15" x14ac:dyDescent="0.6">
      <c r="A139" s="188"/>
      <c r="B139" s="189"/>
      <c r="C139" s="191"/>
      <c r="D139" s="191"/>
      <c r="E139" s="198"/>
      <c r="F139" s="198"/>
      <c r="G139" s="198"/>
    </row>
    <row r="140" spans="1:15" x14ac:dyDescent="0.6">
      <c r="A140" s="188"/>
      <c r="B140" s="189"/>
      <c r="C140" s="191"/>
      <c r="D140" s="191"/>
      <c r="E140" s="198"/>
      <c r="F140" s="198"/>
      <c r="G140" s="198"/>
    </row>
    <row r="141" spans="1:15" x14ac:dyDescent="0.6">
      <c r="A141" s="188"/>
      <c r="B141" s="189"/>
      <c r="C141" s="191"/>
      <c r="D141" s="191"/>
      <c r="E141" s="198"/>
      <c r="F141" s="198"/>
      <c r="G141" s="198"/>
    </row>
    <row r="142" spans="1:15" x14ac:dyDescent="0.6">
      <c r="A142" s="188"/>
      <c r="B142" s="189"/>
      <c r="C142" s="191"/>
      <c r="D142" s="191"/>
      <c r="E142" s="198"/>
      <c r="F142" s="198"/>
      <c r="G142" s="198"/>
    </row>
    <row r="143" spans="1:15" x14ac:dyDescent="0.6">
      <c r="A143" s="188"/>
      <c r="B143" s="189"/>
      <c r="C143" s="191"/>
      <c r="D143" s="191"/>
      <c r="E143" s="198"/>
      <c r="F143" s="198"/>
      <c r="G143" s="198"/>
    </row>
    <row r="144" spans="1:15" x14ac:dyDescent="0.6">
      <c r="A144" s="188"/>
      <c r="B144" s="189"/>
      <c r="C144" s="191"/>
      <c r="D144" s="191"/>
      <c r="E144" s="198"/>
      <c r="F144" s="198"/>
      <c r="G144" s="198"/>
    </row>
    <row r="145" spans="1:15" x14ac:dyDescent="0.6">
      <c r="A145" s="188"/>
      <c r="B145" s="189"/>
      <c r="C145" s="191"/>
      <c r="D145" s="191"/>
      <c r="E145" s="198"/>
      <c r="F145" s="198"/>
      <c r="G145" s="198"/>
    </row>
    <row r="146" spans="1:15" x14ac:dyDescent="0.6">
      <c r="A146" s="188"/>
      <c r="B146" s="189"/>
      <c r="C146" s="191"/>
      <c r="D146" s="191"/>
      <c r="E146" s="198"/>
      <c r="F146" s="198"/>
      <c r="G146" s="198"/>
    </row>
    <row r="147" spans="1:15" x14ac:dyDescent="0.6">
      <c r="A147" s="188"/>
      <c r="B147" s="189"/>
      <c r="C147" s="191"/>
      <c r="D147" s="191"/>
      <c r="E147" s="198"/>
      <c r="F147" s="198"/>
      <c r="G147" s="198"/>
    </row>
    <row r="148" spans="1:15" ht="27.75" x14ac:dyDescent="0.6">
      <c r="A148" s="363" t="s">
        <v>0</v>
      </c>
      <c r="B148" s="363"/>
      <c r="C148" s="363"/>
      <c r="D148" s="363"/>
      <c r="E148" s="363"/>
      <c r="F148" s="363"/>
      <c r="G148" s="234"/>
      <c r="H148" s="58"/>
    </row>
    <row r="149" spans="1:15" ht="27.75" x14ac:dyDescent="0.6">
      <c r="A149" s="363" t="s">
        <v>108</v>
      </c>
      <c r="B149" s="363"/>
      <c r="C149" s="363"/>
      <c r="D149" s="363"/>
      <c r="E149" s="363"/>
      <c r="F149" s="363"/>
      <c r="G149" s="234"/>
      <c r="H149" s="58"/>
    </row>
    <row r="150" spans="1:15" ht="27.75" x14ac:dyDescent="0.6">
      <c r="A150" s="367" t="s">
        <v>399</v>
      </c>
      <c r="B150" s="367"/>
      <c r="C150" s="367"/>
      <c r="D150" s="367"/>
      <c r="E150" s="367"/>
      <c r="F150" s="367"/>
      <c r="G150" s="235"/>
      <c r="H150" s="58"/>
    </row>
    <row r="151" spans="1:15" ht="49.5" x14ac:dyDescent="0.6">
      <c r="A151" s="166" t="s">
        <v>250</v>
      </c>
      <c r="B151" s="167" t="s">
        <v>233</v>
      </c>
      <c r="C151" s="168" t="s">
        <v>230</v>
      </c>
      <c r="D151" s="168" t="s">
        <v>98</v>
      </c>
      <c r="E151" s="168" t="s">
        <v>106</v>
      </c>
      <c r="F151" s="168" t="s">
        <v>5</v>
      </c>
      <c r="M151" s="237" t="s">
        <v>56</v>
      </c>
      <c r="N151" s="246" t="s">
        <v>37</v>
      </c>
    </row>
    <row r="152" spans="1:15" x14ac:dyDescent="0.6">
      <c r="A152" s="173" t="s">
        <v>251</v>
      </c>
      <c r="B152" s="174" t="s">
        <v>67</v>
      </c>
      <c r="C152" s="230" t="s">
        <v>256</v>
      </c>
      <c r="D152" s="176">
        <f>[13]รวม!$N$22</f>
        <v>0</v>
      </c>
      <c r="E152" s="177">
        <f>[13]รวม!$O$22</f>
        <v>0</v>
      </c>
      <c r="F152" s="176">
        <f t="shared" ref="F152:F161" si="16">SUM(D152:E152)</f>
        <v>0</v>
      </c>
      <c r="M152" s="216"/>
      <c r="N152" s="247"/>
    </row>
    <row r="153" spans="1:15" x14ac:dyDescent="0.6">
      <c r="A153" s="173"/>
      <c r="B153" s="174" t="s">
        <v>68</v>
      </c>
      <c r="C153" s="230" t="s">
        <v>256</v>
      </c>
      <c r="D153" s="176">
        <f>[13]รวม!$N$29</f>
        <v>285360</v>
      </c>
      <c r="E153" s="177">
        <f>[13]รวม!$O$29</f>
        <v>0</v>
      </c>
      <c r="F153" s="176">
        <f t="shared" si="16"/>
        <v>285360</v>
      </c>
      <c r="M153" s="216"/>
      <c r="N153" s="247"/>
    </row>
    <row r="154" spans="1:15" x14ac:dyDescent="0.6">
      <c r="A154" s="173" t="s">
        <v>252</v>
      </c>
      <c r="B154" s="174" t="s">
        <v>40</v>
      </c>
      <c r="C154" s="230" t="s">
        <v>256</v>
      </c>
      <c r="D154" s="176">
        <f>[13]รวม!$N$38</f>
        <v>0</v>
      </c>
      <c r="E154" s="177">
        <f>[13]รวม!$O$38</f>
        <v>0</v>
      </c>
      <c r="F154" s="176">
        <f t="shared" si="16"/>
        <v>0</v>
      </c>
      <c r="M154" s="216"/>
      <c r="N154" s="247"/>
    </row>
    <row r="155" spans="1:15" x14ac:dyDescent="0.6">
      <c r="A155" s="173"/>
      <c r="B155" s="174" t="s">
        <v>47</v>
      </c>
      <c r="C155" s="230" t="s">
        <v>256</v>
      </c>
      <c r="D155" s="176">
        <f>[13]รวม!$N$44</f>
        <v>33000</v>
      </c>
      <c r="E155" s="177">
        <f>[13]รวม!$O$44</f>
        <v>0</v>
      </c>
      <c r="F155" s="176">
        <f t="shared" si="16"/>
        <v>33000</v>
      </c>
      <c r="M155" s="216">
        <f>281560</f>
        <v>281560</v>
      </c>
      <c r="N155" s="247" t="e">
        <f t="shared" ref="N155:N161" si="17">C155-F155</f>
        <v>#VALUE!</v>
      </c>
      <c r="O155" s="243" t="e">
        <f>#REF!-#REF!</f>
        <v>#REF!</v>
      </c>
    </row>
    <row r="156" spans="1:15" x14ac:dyDescent="0.6">
      <c r="A156" s="173"/>
      <c r="B156" s="174" t="s">
        <v>39</v>
      </c>
      <c r="C156" s="230" t="s">
        <v>256</v>
      </c>
      <c r="D156" s="176">
        <f>[13]รวม!$N$63</f>
        <v>0</v>
      </c>
      <c r="E156" s="177">
        <f>[13]รวม!$O$63</f>
        <v>0</v>
      </c>
      <c r="F156" s="176">
        <f t="shared" si="16"/>
        <v>0</v>
      </c>
      <c r="M156" s="216">
        <v>173650</v>
      </c>
      <c r="N156" s="247" t="e">
        <f t="shared" si="17"/>
        <v>#VALUE!</v>
      </c>
    </row>
    <row r="157" spans="1:15" x14ac:dyDescent="0.6">
      <c r="A157" s="173"/>
      <c r="B157" s="174" t="s">
        <v>69</v>
      </c>
      <c r="C157" s="230" t="s">
        <v>256</v>
      </c>
      <c r="D157" s="176">
        <f>[13]รวม!$N$70</f>
        <v>0</v>
      </c>
      <c r="E157" s="177">
        <f>[13]รวม!$O$70</f>
        <v>0</v>
      </c>
      <c r="F157" s="176">
        <f t="shared" si="16"/>
        <v>0</v>
      </c>
      <c r="M157" s="216"/>
      <c r="N157" s="247" t="e">
        <f t="shared" si="17"/>
        <v>#VALUE!</v>
      </c>
    </row>
    <row r="158" spans="1:15" x14ac:dyDescent="0.6">
      <c r="A158" s="173" t="s">
        <v>253</v>
      </c>
      <c r="B158" s="174" t="s">
        <v>86</v>
      </c>
      <c r="C158" s="230" t="s">
        <v>256</v>
      </c>
      <c r="D158" s="176">
        <f>[13]รวม!$N$90</f>
        <v>0</v>
      </c>
      <c r="E158" s="177">
        <f>[13]รวม!$O$90</f>
        <v>0</v>
      </c>
      <c r="F158" s="176">
        <f t="shared" si="16"/>
        <v>0</v>
      </c>
      <c r="M158" s="216"/>
      <c r="N158" s="247" t="e">
        <f t="shared" si="17"/>
        <v>#VALUE!</v>
      </c>
    </row>
    <row r="159" spans="1:15" x14ac:dyDescent="0.6">
      <c r="A159" s="173"/>
      <c r="B159" s="174" t="s">
        <v>87</v>
      </c>
      <c r="C159" s="230" t="s">
        <v>256</v>
      </c>
      <c r="D159" s="176">
        <f>[13]รวม!$N$104</f>
        <v>0</v>
      </c>
      <c r="E159" s="177">
        <f>[13]รวม!$O$104</f>
        <v>0</v>
      </c>
      <c r="F159" s="176">
        <f t="shared" si="16"/>
        <v>0</v>
      </c>
      <c r="M159" s="216"/>
      <c r="N159" s="247" t="e">
        <f t="shared" si="17"/>
        <v>#VALUE!</v>
      </c>
    </row>
    <row r="160" spans="1:15" x14ac:dyDescent="0.6">
      <c r="A160" s="173" t="s">
        <v>254</v>
      </c>
      <c r="B160" s="174" t="s">
        <v>79</v>
      </c>
      <c r="C160" s="230" t="s">
        <v>256</v>
      </c>
      <c r="D160" s="176">
        <f>[13]รวม!$N$108</f>
        <v>0</v>
      </c>
      <c r="E160" s="177">
        <f>[13]รวม!$O$108</f>
        <v>0</v>
      </c>
      <c r="F160" s="176">
        <f t="shared" si="16"/>
        <v>0</v>
      </c>
      <c r="M160" s="231"/>
      <c r="N160" s="247" t="e">
        <f t="shared" si="17"/>
        <v>#VALUE!</v>
      </c>
    </row>
    <row r="161" spans="1:14" x14ac:dyDescent="0.6">
      <c r="A161" s="182" t="s">
        <v>255</v>
      </c>
      <c r="B161" s="183" t="s">
        <v>80</v>
      </c>
      <c r="C161" s="230" t="s">
        <v>256</v>
      </c>
      <c r="D161" s="184">
        <f>[13]รวม!$N$115</f>
        <v>25000</v>
      </c>
      <c r="E161" s="242">
        <f>[13]รวม!$O$115</f>
        <v>0</v>
      </c>
      <c r="F161" s="176">
        <f t="shared" si="16"/>
        <v>25000</v>
      </c>
      <c r="M161" s="231">
        <v>70000</v>
      </c>
      <c r="N161" s="247" t="e">
        <f t="shared" si="17"/>
        <v>#VALUE!</v>
      </c>
    </row>
    <row r="162" spans="1:14" ht="24" customHeight="1" x14ac:dyDescent="0.6">
      <c r="A162" s="364" t="s">
        <v>5</v>
      </c>
      <c r="B162" s="365"/>
      <c r="C162" s="366"/>
      <c r="D162" s="239">
        <f>SUM(D152:D161)</f>
        <v>343360</v>
      </c>
      <c r="E162" s="239">
        <f>SUM(E152:E161)</f>
        <v>0</v>
      </c>
      <c r="F162" s="239">
        <f>SUM(F153:F161)</f>
        <v>343360</v>
      </c>
      <c r="G162" s="48">
        <f>F162-[13]รวม!$O$117</f>
        <v>0</v>
      </c>
      <c r="M162" s="240">
        <f>SUM(M152:M161)</f>
        <v>525210</v>
      </c>
      <c r="N162" s="247" t="e">
        <f>SUM(N155:N161)</f>
        <v>#VALUE!</v>
      </c>
    </row>
    <row r="163" spans="1:14" x14ac:dyDescent="0.6">
      <c r="A163" s="188"/>
      <c r="B163" s="189"/>
      <c r="C163" s="191"/>
      <c r="D163" s="191"/>
      <c r="E163" s="198"/>
      <c r="F163" s="198"/>
      <c r="G163" s="198"/>
    </row>
    <row r="164" spans="1:14" x14ac:dyDescent="0.6">
      <c r="A164" s="188"/>
      <c r="B164" s="189"/>
      <c r="C164" s="191"/>
      <c r="D164" s="191"/>
      <c r="E164" s="198"/>
      <c r="F164" s="198"/>
      <c r="G164" s="198"/>
    </row>
    <row r="165" spans="1:14" x14ac:dyDescent="0.6">
      <c r="A165" s="188"/>
      <c r="B165" s="189"/>
      <c r="C165" s="191"/>
      <c r="D165" s="191"/>
      <c r="E165" s="198"/>
      <c r="F165" s="198"/>
      <c r="G165" s="198"/>
    </row>
    <row r="166" spans="1:14" x14ac:dyDescent="0.6">
      <c r="A166" s="188"/>
      <c r="B166" s="189"/>
      <c r="C166" s="191"/>
      <c r="D166" s="191"/>
      <c r="E166" s="198"/>
      <c r="F166" s="198"/>
      <c r="G166" s="198"/>
    </row>
    <row r="167" spans="1:14" x14ac:dyDescent="0.6">
      <c r="A167" s="188"/>
      <c r="B167" s="189"/>
      <c r="C167" s="191"/>
      <c r="D167" s="191"/>
      <c r="E167" s="198"/>
      <c r="F167" s="198"/>
      <c r="G167" s="198"/>
    </row>
    <row r="168" spans="1:14" x14ac:dyDescent="0.6">
      <c r="A168" s="188"/>
      <c r="B168" s="189"/>
      <c r="C168" s="191"/>
      <c r="D168" s="191"/>
      <c r="E168" s="198"/>
      <c r="F168" s="198"/>
      <c r="G168" s="198"/>
    </row>
    <row r="169" spans="1:14" x14ac:dyDescent="0.6">
      <c r="A169" s="188"/>
      <c r="B169" s="189"/>
      <c r="C169" s="191"/>
      <c r="D169" s="191"/>
      <c r="E169" s="198"/>
      <c r="F169" s="198"/>
      <c r="G169" s="198"/>
    </row>
    <row r="170" spans="1:14" x14ac:dyDescent="0.6">
      <c r="A170" s="188"/>
      <c r="B170" s="189"/>
      <c r="C170" s="191"/>
      <c r="D170" s="191"/>
      <c r="E170" s="198"/>
      <c r="F170" s="198"/>
      <c r="G170" s="198"/>
    </row>
    <row r="171" spans="1:14" x14ac:dyDescent="0.6">
      <c r="A171" s="188"/>
      <c r="B171" s="189"/>
      <c r="C171" s="191"/>
      <c r="D171" s="191"/>
      <c r="E171" s="198"/>
      <c r="F171" s="198"/>
      <c r="G171" s="198"/>
    </row>
    <row r="172" spans="1:14" x14ac:dyDescent="0.6">
      <c r="A172" s="188"/>
      <c r="B172" s="189"/>
      <c r="C172" s="191"/>
      <c r="D172" s="191"/>
      <c r="E172" s="198"/>
      <c r="F172" s="198"/>
      <c r="G172" s="198"/>
    </row>
    <row r="173" spans="1:14" x14ac:dyDescent="0.6">
      <c r="A173" s="188"/>
      <c r="B173" s="189"/>
      <c r="C173" s="191"/>
      <c r="D173" s="191"/>
      <c r="E173" s="198"/>
      <c r="F173" s="198"/>
      <c r="G173" s="198"/>
    </row>
    <row r="174" spans="1:14" x14ac:dyDescent="0.6">
      <c r="A174" s="188"/>
      <c r="B174" s="189"/>
      <c r="C174" s="191"/>
      <c r="D174" s="191"/>
      <c r="E174" s="198"/>
      <c r="F174" s="198"/>
      <c r="G174" s="198"/>
    </row>
    <row r="175" spans="1:14" x14ac:dyDescent="0.6">
      <c r="A175" s="188"/>
      <c r="B175" s="189"/>
      <c r="C175" s="191"/>
      <c r="D175" s="191"/>
      <c r="E175" s="198"/>
      <c r="F175" s="198"/>
      <c r="G175" s="198"/>
    </row>
    <row r="176" spans="1:14" x14ac:dyDescent="0.6">
      <c r="A176" s="188"/>
      <c r="B176" s="189"/>
      <c r="C176" s="191"/>
      <c r="D176" s="191"/>
      <c r="E176" s="198"/>
      <c r="F176" s="198"/>
      <c r="G176" s="198"/>
    </row>
    <row r="177" spans="1:15" ht="27.75" x14ac:dyDescent="0.6">
      <c r="A177" s="363" t="s">
        <v>0</v>
      </c>
      <c r="B177" s="363"/>
      <c r="C177" s="363"/>
      <c r="D177" s="363"/>
      <c r="E177" s="363"/>
      <c r="F177" s="363"/>
      <c r="G177" s="363"/>
      <c r="H177" s="363"/>
    </row>
    <row r="178" spans="1:15" ht="27.75" x14ac:dyDescent="0.6">
      <c r="A178" s="363" t="s">
        <v>109</v>
      </c>
      <c r="B178" s="363"/>
      <c r="C178" s="363"/>
      <c r="D178" s="363"/>
      <c r="E178" s="363"/>
      <c r="F178" s="363"/>
      <c r="G178" s="363"/>
      <c r="H178" s="363"/>
    </row>
    <row r="179" spans="1:15" ht="27.75" x14ac:dyDescent="0.6">
      <c r="A179" s="367" t="s">
        <v>399</v>
      </c>
      <c r="B179" s="367"/>
      <c r="C179" s="367"/>
      <c r="D179" s="367"/>
      <c r="E179" s="367"/>
      <c r="F179" s="367"/>
      <c r="G179" s="367"/>
      <c r="H179" s="367"/>
    </row>
    <row r="180" spans="1:15" ht="49.5" x14ac:dyDescent="0.6">
      <c r="A180" s="166" t="s">
        <v>250</v>
      </c>
      <c r="B180" s="167" t="s">
        <v>233</v>
      </c>
      <c r="C180" s="168" t="s">
        <v>230</v>
      </c>
      <c r="D180" s="168" t="s">
        <v>98</v>
      </c>
      <c r="E180" s="168" t="s">
        <v>52</v>
      </c>
      <c r="F180" s="168" t="s">
        <v>110</v>
      </c>
      <c r="G180" s="168" t="s">
        <v>111</v>
      </c>
      <c r="H180" s="168" t="s">
        <v>5</v>
      </c>
      <c r="M180" s="237" t="s">
        <v>56</v>
      </c>
      <c r="N180" s="241" t="s">
        <v>37</v>
      </c>
    </row>
    <row r="181" spans="1:15" x14ac:dyDescent="0.6">
      <c r="A181" s="173" t="s">
        <v>251</v>
      </c>
      <c r="B181" s="174" t="s">
        <v>67</v>
      </c>
      <c r="C181" s="230" t="s">
        <v>256</v>
      </c>
      <c r="D181" s="175"/>
      <c r="E181" s="196">
        <f>[13]รวม!$P$22</f>
        <v>0</v>
      </c>
      <c r="F181" s="264">
        <f>[13]รวม!$Q$22</f>
        <v>0</v>
      </c>
      <c r="G181" s="113"/>
      <c r="H181" s="176">
        <f t="shared" ref="H181:H183" si="18">SUM(D181:G181)</f>
        <v>0</v>
      </c>
      <c r="M181" s="216"/>
      <c r="N181" s="241"/>
    </row>
    <row r="182" spans="1:15" x14ac:dyDescent="0.6">
      <c r="A182" s="173"/>
      <c r="B182" s="174" t="s">
        <v>68</v>
      </c>
      <c r="C182" s="230" t="s">
        <v>256</v>
      </c>
      <c r="D182" s="176"/>
      <c r="E182" s="177">
        <f>[13]รวม!$P$29</f>
        <v>0</v>
      </c>
      <c r="F182" s="177">
        <f>[13]รวม!$Q$29</f>
        <v>0</v>
      </c>
      <c r="G182" s="177"/>
      <c r="H182" s="176">
        <f t="shared" si="18"/>
        <v>0</v>
      </c>
      <c r="M182" s="216"/>
      <c r="N182" s="241"/>
    </row>
    <row r="183" spans="1:15" x14ac:dyDescent="0.6">
      <c r="A183" s="173" t="s">
        <v>252</v>
      </c>
      <c r="B183" s="174" t="s">
        <v>40</v>
      </c>
      <c r="C183" s="230" t="s">
        <v>256</v>
      </c>
      <c r="D183" s="176"/>
      <c r="E183" s="177">
        <f>[13]รวม!$P$38</f>
        <v>0</v>
      </c>
      <c r="F183" s="177">
        <f>[13]รวม!$Q$38</f>
        <v>0</v>
      </c>
      <c r="G183" s="177"/>
      <c r="H183" s="176">
        <f t="shared" si="18"/>
        <v>0</v>
      </c>
      <c r="M183" s="216"/>
      <c r="N183" s="241"/>
    </row>
    <row r="184" spans="1:15" x14ac:dyDescent="0.6">
      <c r="A184" s="173"/>
      <c r="B184" s="174" t="s">
        <v>47</v>
      </c>
      <c r="C184" s="230" t="s">
        <v>256</v>
      </c>
      <c r="D184" s="176"/>
      <c r="E184" s="177">
        <f>[13]รวม!$P$44</f>
        <v>0</v>
      </c>
      <c r="F184" s="177">
        <f>[13]รวม!$Q$44</f>
        <v>55320</v>
      </c>
      <c r="G184" s="177"/>
      <c r="H184" s="176">
        <f>SUM(D184:G184)</f>
        <v>55320</v>
      </c>
      <c r="M184" s="216">
        <f>111580+177000</f>
        <v>288580</v>
      </c>
      <c r="N184" s="238" t="e">
        <f t="shared" ref="N184:N190" si="19">C184-H184</f>
        <v>#VALUE!</v>
      </c>
      <c r="O184" s="243" t="e">
        <f>#REF!-#REF!</f>
        <v>#REF!</v>
      </c>
    </row>
    <row r="185" spans="1:15" x14ac:dyDescent="0.6">
      <c r="A185" s="173"/>
      <c r="B185" s="174" t="s">
        <v>39</v>
      </c>
      <c r="C185" s="230" t="s">
        <v>256</v>
      </c>
      <c r="D185" s="176"/>
      <c r="E185" s="177">
        <f>[13]รวม!$P$63</f>
        <v>0</v>
      </c>
      <c r="F185" s="177">
        <f>[13]รวม!$Q$63</f>
        <v>0</v>
      </c>
      <c r="G185" s="177"/>
      <c r="H185" s="176">
        <f t="shared" ref="H185:H190" si="20">SUM(D185:G185)</f>
        <v>0</v>
      </c>
      <c r="M185" s="216"/>
      <c r="N185" s="238" t="e">
        <f t="shared" si="19"/>
        <v>#VALUE!</v>
      </c>
    </row>
    <row r="186" spans="1:15" x14ac:dyDescent="0.6">
      <c r="A186" s="173"/>
      <c r="B186" s="174" t="s">
        <v>69</v>
      </c>
      <c r="C186" s="230" t="s">
        <v>256</v>
      </c>
      <c r="D186" s="176"/>
      <c r="E186" s="177">
        <f>[13]รวม!$P$70</f>
        <v>0</v>
      </c>
      <c r="F186" s="177">
        <f>[13]รวม!$Q$70</f>
        <v>0</v>
      </c>
      <c r="G186" s="177"/>
      <c r="H186" s="176">
        <f t="shared" si="20"/>
        <v>0</v>
      </c>
      <c r="M186" s="216"/>
      <c r="N186" s="238" t="e">
        <f t="shared" si="19"/>
        <v>#VALUE!</v>
      </c>
    </row>
    <row r="187" spans="1:15" x14ac:dyDescent="0.6">
      <c r="A187" s="173" t="s">
        <v>253</v>
      </c>
      <c r="B187" s="174" t="s">
        <v>86</v>
      </c>
      <c r="C187" s="230" t="s">
        <v>256</v>
      </c>
      <c r="D187" s="176"/>
      <c r="E187" s="177">
        <f>[13]รวม!$P$90</f>
        <v>0</v>
      </c>
      <c r="F187" s="177">
        <f>[13]รวม!$Q$90</f>
        <v>0</v>
      </c>
      <c r="G187" s="177"/>
      <c r="H187" s="176">
        <f t="shared" si="20"/>
        <v>0</v>
      </c>
      <c r="M187" s="216"/>
      <c r="N187" s="238" t="e">
        <f t="shared" si="19"/>
        <v>#VALUE!</v>
      </c>
    </row>
    <row r="188" spans="1:15" x14ac:dyDescent="0.6">
      <c r="A188" s="173"/>
      <c r="B188" s="174" t="s">
        <v>87</v>
      </c>
      <c r="C188" s="230" t="s">
        <v>256</v>
      </c>
      <c r="D188" s="176"/>
      <c r="E188" s="177">
        <f>[13]รวม!$P$104</f>
        <v>0</v>
      </c>
      <c r="F188" s="177">
        <f>[13]รวม!$Q$104</f>
        <v>0</v>
      </c>
      <c r="G188" s="177"/>
      <c r="H188" s="176">
        <f t="shared" si="20"/>
        <v>0</v>
      </c>
      <c r="M188" s="216"/>
      <c r="N188" s="238" t="e">
        <f t="shared" si="19"/>
        <v>#VALUE!</v>
      </c>
    </row>
    <row r="189" spans="1:15" x14ac:dyDescent="0.6">
      <c r="A189" s="173" t="s">
        <v>254</v>
      </c>
      <c r="B189" s="174" t="s">
        <v>79</v>
      </c>
      <c r="C189" s="230" t="s">
        <v>256</v>
      </c>
      <c r="D189" s="176"/>
      <c r="E189" s="177">
        <f>[13]รวม!$P$108</f>
        <v>0</v>
      </c>
      <c r="F189" s="177">
        <f>[13]รวม!$Q$108</f>
        <v>0</v>
      </c>
      <c r="G189" s="177"/>
      <c r="H189" s="176">
        <f t="shared" si="20"/>
        <v>0</v>
      </c>
      <c r="M189" s="231"/>
      <c r="N189" s="238" t="e">
        <f t="shared" si="19"/>
        <v>#VALUE!</v>
      </c>
    </row>
    <row r="190" spans="1:15" x14ac:dyDescent="0.6">
      <c r="A190" s="182" t="s">
        <v>255</v>
      </c>
      <c r="B190" s="183" t="s">
        <v>80</v>
      </c>
      <c r="C190" s="230" t="s">
        <v>256</v>
      </c>
      <c r="D190" s="184"/>
      <c r="E190" s="242">
        <f>[13]รวม!$P$115</f>
        <v>0</v>
      </c>
      <c r="F190" s="242">
        <f>[13]รวม!$Q$115</f>
        <v>44750.64</v>
      </c>
      <c r="G190" s="242"/>
      <c r="H190" s="176">
        <f t="shared" si="20"/>
        <v>44750.64</v>
      </c>
      <c r="M190" s="231">
        <f>103500</f>
        <v>103500</v>
      </c>
      <c r="N190" s="238" t="e">
        <f t="shared" si="19"/>
        <v>#VALUE!</v>
      </c>
    </row>
    <row r="191" spans="1:15" ht="24" customHeight="1" x14ac:dyDescent="0.6">
      <c r="A191" s="364" t="s">
        <v>5</v>
      </c>
      <c r="B191" s="365"/>
      <c r="C191" s="366"/>
      <c r="D191" s="239">
        <f>SUM(D181:D190)</f>
        <v>0</v>
      </c>
      <c r="E191" s="239">
        <f>SUM(E181:E190)</f>
        <v>0</v>
      </c>
      <c r="F191" s="239">
        <f>SUM(F181:F190)</f>
        <v>100070.64</v>
      </c>
      <c r="G191" s="239">
        <f>SUM(G181:G190)</f>
        <v>0</v>
      </c>
      <c r="H191" s="239">
        <f>SUM(H181:H190)</f>
        <v>100070.64</v>
      </c>
      <c r="I191" s="48">
        <f>H191-[13]รวม!$Q$117</f>
        <v>0</v>
      </c>
      <c r="M191" s="240">
        <f>SUM(M181:M190)</f>
        <v>392080</v>
      </c>
      <c r="N191" s="238" t="e">
        <f>SUM(N184:N190)</f>
        <v>#VALUE!</v>
      </c>
    </row>
    <row r="192" spans="1:15" x14ac:dyDescent="0.6">
      <c r="A192" s="188"/>
      <c r="B192" s="189"/>
      <c r="C192" s="191"/>
      <c r="D192" s="191"/>
      <c r="E192" s="198"/>
      <c r="F192" s="198"/>
      <c r="G192" s="198"/>
    </row>
    <row r="193" spans="1:8" x14ac:dyDescent="0.6">
      <c r="A193" s="188"/>
      <c r="B193" s="189"/>
      <c r="C193" s="191"/>
      <c r="D193" s="191"/>
      <c r="E193" s="198"/>
      <c r="F193" s="198"/>
      <c r="G193" s="198"/>
    </row>
    <row r="194" spans="1:8" x14ac:dyDescent="0.6">
      <c r="A194" s="188"/>
      <c r="B194" s="189"/>
      <c r="C194" s="191"/>
      <c r="D194" s="191"/>
      <c r="E194" s="198"/>
      <c r="F194" s="198"/>
      <c r="G194" s="198"/>
    </row>
    <row r="195" spans="1:8" x14ac:dyDescent="0.6">
      <c r="A195" s="188"/>
      <c r="B195" s="189"/>
      <c r="C195" s="191"/>
      <c r="D195" s="191"/>
      <c r="E195" s="198"/>
      <c r="F195" s="198"/>
      <c r="G195" s="198"/>
    </row>
    <row r="196" spans="1:8" x14ac:dyDescent="0.6">
      <c r="A196" s="188"/>
      <c r="B196" s="189"/>
      <c r="C196" s="191"/>
      <c r="D196" s="191"/>
      <c r="E196" s="198"/>
      <c r="F196" s="198"/>
      <c r="G196" s="198"/>
    </row>
    <row r="197" spans="1:8" x14ac:dyDescent="0.6">
      <c r="A197" s="188"/>
      <c r="B197" s="189"/>
      <c r="C197" s="191"/>
      <c r="D197" s="191"/>
      <c r="E197" s="198"/>
      <c r="F197" s="198"/>
      <c r="G197" s="198"/>
    </row>
    <row r="198" spans="1:8" x14ac:dyDescent="0.6">
      <c r="A198" s="188"/>
      <c r="B198" s="189"/>
      <c r="C198" s="191"/>
      <c r="D198" s="191"/>
      <c r="E198" s="198"/>
      <c r="F198" s="198"/>
      <c r="G198" s="198"/>
    </row>
    <row r="199" spans="1:8" x14ac:dyDescent="0.6">
      <c r="A199" s="188"/>
      <c r="B199" s="189"/>
      <c r="C199" s="191"/>
      <c r="D199" s="191"/>
      <c r="E199" s="198"/>
      <c r="F199" s="198"/>
      <c r="G199" s="198"/>
    </row>
    <row r="200" spans="1:8" x14ac:dyDescent="0.6">
      <c r="A200" s="188"/>
      <c r="B200" s="189"/>
      <c r="C200" s="191"/>
      <c r="D200" s="191"/>
      <c r="E200" s="198"/>
      <c r="F200" s="198"/>
      <c r="G200" s="198"/>
    </row>
    <row r="201" spans="1:8" x14ac:dyDescent="0.6">
      <c r="A201" s="188"/>
      <c r="B201" s="189"/>
      <c r="C201" s="191"/>
      <c r="D201" s="191"/>
      <c r="E201" s="198"/>
      <c r="F201" s="198"/>
      <c r="G201" s="198"/>
    </row>
    <row r="202" spans="1:8" x14ac:dyDescent="0.6">
      <c r="A202" s="188"/>
      <c r="B202" s="189"/>
      <c r="C202" s="191"/>
      <c r="D202" s="191"/>
      <c r="E202" s="198"/>
      <c r="F202" s="198"/>
      <c r="G202" s="198"/>
    </row>
    <row r="203" spans="1:8" x14ac:dyDescent="0.6">
      <c r="A203" s="188"/>
      <c r="B203" s="189"/>
      <c r="C203" s="191"/>
      <c r="D203" s="191"/>
      <c r="E203" s="198"/>
      <c r="F203" s="198"/>
      <c r="G203" s="198"/>
    </row>
    <row r="204" spans="1:8" x14ac:dyDescent="0.6">
      <c r="A204" s="188"/>
      <c r="B204" s="189"/>
      <c r="C204" s="191"/>
      <c r="D204" s="191"/>
      <c r="E204" s="198"/>
      <c r="F204" s="198"/>
      <c r="G204" s="198"/>
    </row>
    <row r="205" spans="1:8" x14ac:dyDescent="0.6">
      <c r="A205" s="188"/>
      <c r="B205" s="189"/>
      <c r="C205" s="191"/>
      <c r="D205" s="191"/>
      <c r="E205" s="198"/>
      <c r="F205" s="198"/>
      <c r="G205" s="198"/>
    </row>
    <row r="206" spans="1:8" ht="27.75" x14ac:dyDescent="0.6">
      <c r="A206" s="363" t="s">
        <v>0</v>
      </c>
      <c r="B206" s="363"/>
      <c r="C206" s="363"/>
      <c r="D206" s="363"/>
      <c r="E206" s="363"/>
      <c r="F206" s="363"/>
      <c r="G206" s="234"/>
      <c r="H206" s="58"/>
    </row>
    <row r="207" spans="1:8" ht="27.75" x14ac:dyDescent="0.6">
      <c r="A207" s="363" t="s">
        <v>112</v>
      </c>
      <c r="B207" s="363"/>
      <c r="C207" s="363"/>
      <c r="D207" s="363"/>
      <c r="E207" s="363"/>
      <c r="F207" s="363"/>
      <c r="G207" s="234"/>
      <c r="H207" s="58"/>
    </row>
    <row r="208" spans="1:8" ht="27.75" x14ac:dyDescent="0.6">
      <c r="A208" s="367" t="s">
        <v>399</v>
      </c>
      <c r="B208" s="367"/>
      <c r="C208" s="367"/>
      <c r="D208" s="367"/>
      <c r="E208" s="367"/>
      <c r="F208" s="367"/>
      <c r="G208" s="235"/>
      <c r="H208" s="58"/>
    </row>
    <row r="209" spans="1:14" ht="49.5" x14ac:dyDescent="0.6">
      <c r="A209" s="166" t="s">
        <v>250</v>
      </c>
      <c r="B209" s="167" t="s">
        <v>233</v>
      </c>
      <c r="C209" s="168" t="s">
        <v>230</v>
      </c>
      <c r="D209" s="168" t="s">
        <v>53</v>
      </c>
      <c r="E209" s="168" t="s">
        <v>113</v>
      </c>
      <c r="F209" s="168" t="s">
        <v>5</v>
      </c>
      <c r="M209" s="237" t="s">
        <v>56</v>
      </c>
      <c r="N209" s="246" t="s">
        <v>37</v>
      </c>
    </row>
    <row r="210" spans="1:14" x14ac:dyDescent="0.6">
      <c r="A210" s="173" t="s">
        <v>251</v>
      </c>
      <c r="B210" s="174" t="s">
        <v>67</v>
      </c>
      <c r="C210" s="230" t="s">
        <v>256</v>
      </c>
      <c r="D210" s="176">
        <f>[13]รวม!$R$22</f>
        <v>0</v>
      </c>
      <c r="E210" s="177"/>
      <c r="F210" s="176">
        <f t="shared" ref="F210:F212" si="21">SUM(D210:E210)</f>
        <v>0</v>
      </c>
      <c r="M210" s="216"/>
      <c r="N210" s="247"/>
    </row>
    <row r="211" spans="1:14" x14ac:dyDescent="0.6">
      <c r="A211" s="173"/>
      <c r="B211" s="174" t="s">
        <v>68</v>
      </c>
      <c r="C211" s="230" t="s">
        <v>256</v>
      </c>
      <c r="D211" s="176">
        <f>[13]รวม!$R$29</f>
        <v>0</v>
      </c>
      <c r="E211" s="177"/>
      <c r="F211" s="176">
        <f t="shared" si="21"/>
        <v>0</v>
      </c>
      <c r="M211" s="216"/>
      <c r="N211" s="247"/>
    </row>
    <row r="212" spans="1:14" x14ac:dyDescent="0.6">
      <c r="A212" s="173" t="s">
        <v>252</v>
      </c>
      <c r="B212" s="174" t="s">
        <v>40</v>
      </c>
      <c r="C212" s="230" t="s">
        <v>256</v>
      </c>
      <c r="D212" s="176">
        <f>[13]รวม!$R$38</f>
        <v>0</v>
      </c>
      <c r="E212" s="177"/>
      <c r="F212" s="176">
        <f t="shared" si="21"/>
        <v>0</v>
      </c>
      <c r="M212" s="216"/>
      <c r="N212" s="247"/>
    </row>
    <row r="213" spans="1:14" x14ac:dyDescent="0.6">
      <c r="A213" s="173"/>
      <c r="B213" s="174" t="s">
        <v>47</v>
      </c>
      <c r="C213" s="230" t="s">
        <v>256</v>
      </c>
      <c r="D213" s="176">
        <f>[13]รวม!$R$44</f>
        <v>0</v>
      </c>
      <c r="E213" s="177"/>
      <c r="F213" s="176">
        <f>SUM(D213:E213)</f>
        <v>0</v>
      </c>
      <c r="M213" s="216">
        <v>50000</v>
      </c>
      <c r="N213" s="247" t="e">
        <f>C213-F213</f>
        <v>#VALUE!</v>
      </c>
    </row>
    <row r="214" spans="1:14" x14ac:dyDescent="0.6">
      <c r="A214" s="173"/>
      <c r="B214" s="174" t="s">
        <v>39</v>
      </c>
      <c r="C214" s="230" t="s">
        <v>256</v>
      </c>
      <c r="D214" s="176">
        <f>[13]รวม!$R$63</f>
        <v>0</v>
      </c>
      <c r="E214" s="177"/>
      <c r="F214" s="176">
        <f t="shared" ref="F214:F219" si="22">SUM(D214:E214)</f>
        <v>0</v>
      </c>
      <c r="M214" s="216"/>
      <c r="N214" s="247"/>
    </row>
    <row r="215" spans="1:14" x14ac:dyDescent="0.6">
      <c r="A215" s="173"/>
      <c r="B215" s="174" t="s">
        <v>69</v>
      </c>
      <c r="C215" s="230" t="s">
        <v>256</v>
      </c>
      <c r="D215" s="176">
        <f>[13]รวม!$R$70</f>
        <v>0</v>
      </c>
      <c r="E215" s="177"/>
      <c r="F215" s="176">
        <f t="shared" si="22"/>
        <v>0</v>
      </c>
      <c r="M215" s="216"/>
      <c r="N215" s="247"/>
    </row>
    <row r="216" spans="1:14" x14ac:dyDescent="0.6">
      <c r="A216" s="173" t="s">
        <v>253</v>
      </c>
      <c r="B216" s="174" t="s">
        <v>86</v>
      </c>
      <c r="C216" s="230" t="s">
        <v>256</v>
      </c>
      <c r="D216" s="176">
        <f>[13]รวม!$R$90</f>
        <v>0</v>
      </c>
      <c r="E216" s="177"/>
      <c r="F216" s="176">
        <f t="shared" si="22"/>
        <v>0</v>
      </c>
      <c r="M216" s="216"/>
      <c r="N216" s="247"/>
    </row>
    <row r="217" spans="1:14" x14ac:dyDescent="0.6">
      <c r="A217" s="173"/>
      <c r="B217" s="174" t="s">
        <v>87</v>
      </c>
      <c r="C217" s="230" t="s">
        <v>256</v>
      </c>
      <c r="D217" s="176">
        <f>[13]รวม!$R$104</f>
        <v>0</v>
      </c>
      <c r="E217" s="177"/>
      <c r="F217" s="176">
        <f t="shared" si="22"/>
        <v>0</v>
      </c>
      <c r="M217" s="216"/>
      <c r="N217" s="247"/>
    </row>
    <row r="218" spans="1:14" x14ac:dyDescent="0.6">
      <c r="A218" s="173" t="s">
        <v>254</v>
      </c>
      <c r="B218" s="174" t="s">
        <v>79</v>
      </c>
      <c r="C218" s="230" t="s">
        <v>256</v>
      </c>
      <c r="D218" s="176">
        <f>[13]รวม!$R$108</f>
        <v>0</v>
      </c>
      <c r="E218" s="177"/>
      <c r="F218" s="176">
        <f t="shared" si="22"/>
        <v>0</v>
      </c>
      <c r="M218" s="231"/>
      <c r="N218" s="247"/>
    </row>
    <row r="219" spans="1:14" x14ac:dyDescent="0.6">
      <c r="A219" s="182" t="s">
        <v>255</v>
      </c>
      <c r="B219" s="183" t="s">
        <v>80</v>
      </c>
      <c r="C219" s="230" t="s">
        <v>256</v>
      </c>
      <c r="D219" s="184">
        <f>[13]รวม!$R$115</f>
        <v>0</v>
      </c>
      <c r="E219" s="242"/>
      <c r="F219" s="176">
        <f t="shared" si="22"/>
        <v>0</v>
      </c>
      <c r="M219" s="231"/>
      <c r="N219" s="247"/>
    </row>
    <row r="220" spans="1:14" ht="24" customHeight="1" x14ac:dyDescent="0.6">
      <c r="A220" s="364" t="s">
        <v>5</v>
      </c>
      <c r="B220" s="365"/>
      <c r="C220" s="366"/>
      <c r="D220" s="239">
        <f>SUM(D210:D219)</f>
        <v>0</v>
      </c>
      <c r="E220" s="239">
        <f>SUM(E210:E219)</f>
        <v>0</v>
      </c>
      <c r="F220" s="239">
        <f>SUM(F210:F219)</f>
        <v>0</v>
      </c>
      <c r="G220" s="48">
        <f>F220-[13]รวม!$R$117</f>
        <v>0</v>
      </c>
      <c r="M220" s="240">
        <f>SUM(M210:M219)</f>
        <v>50000</v>
      </c>
      <c r="N220" s="247" t="e">
        <f>SUM(N213:N219)</f>
        <v>#VALUE!</v>
      </c>
    </row>
    <row r="221" spans="1:14" x14ac:dyDescent="0.6">
      <c r="A221" s="188"/>
      <c r="B221" s="189"/>
      <c r="C221" s="191"/>
      <c r="D221" s="191"/>
      <c r="E221" s="198"/>
      <c r="F221" s="198"/>
      <c r="G221" s="198"/>
    </row>
    <row r="222" spans="1:14" x14ac:dyDescent="0.6">
      <c r="A222" s="188"/>
      <c r="B222" s="189"/>
      <c r="C222" s="191"/>
      <c r="D222" s="191"/>
      <c r="E222" s="198"/>
      <c r="F222" s="198"/>
      <c r="G222" s="198"/>
    </row>
    <row r="223" spans="1:14" x14ac:dyDescent="0.6">
      <c r="A223" s="188"/>
      <c r="B223" s="189"/>
      <c r="C223" s="191"/>
      <c r="D223" s="191"/>
      <c r="E223" s="198"/>
      <c r="F223" s="198"/>
      <c r="G223" s="198"/>
    </row>
    <row r="224" spans="1:14" x14ac:dyDescent="0.6">
      <c r="A224" s="188"/>
      <c r="B224" s="189"/>
      <c r="C224" s="191"/>
      <c r="D224" s="191"/>
      <c r="E224" s="198"/>
      <c r="F224" s="198"/>
      <c r="G224" s="198"/>
    </row>
    <row r="225" spans="1:14" x14ac:dyDescent="0.6">
      <c r="A225" s="188"/>
      <c r="B225" s="189"/>
      <c r="C225" s="191"/>
      <c r="D225" s="191"/>
      <c r="E225" s="198"/>
      <c r="F225" s="198"/>
      <c r="G225" s="198"/>
    </row>
    <row r="226" spans="1:14" x14ac:dyDescent="0.6">
      <c r="A226" s="188"/>
      <c r="B226" s="189"/>
      <c r="C226" s="191"/>
      <c r="D226" s="191"/>
      <c r="E226" s="198"/>
      <c r="F226" s="198"/>
      <c r="G226" s="198"/>
    </row>
    <row r="227" spans="1:14" x14ac:dyDescent="0.6">
      <c r="A227" s="188"/>
      <c r="B227" s="189"/>
      <c r="C227" s="191"/>
      <c r="D227" s="191"/>
      <c r="E227" s="198"/>
      <c r="F227" s="198"/>
      <c r="G227" s="198"/>
    </row>
    <row r="228" spans="1:14" x14ac:dyDescent="0.6">
      <c r="A228" s="188"/>
      <c r="B228" s="189"/>
      <c r="C228" s="191"/>
      <c r="D228" s="191"/>
      <c r="E228" s="198"/>
      <c r="F228" s="198"/>
      <c r="G228" s="198"/>
    </row>
    <row r="229" spans="1:14" x14ac:dyDescent="0.6">
      <c r="A229" s="188"/>
      <c r="B229" s="189"/>
      <c r="C229" s="191"/>
      <c r="D229" s="191"/>
      <c r="E229" s="198"/>
      <c r="F229" s="198"/>
      <c r="G229" s="198"/>
    </row>
    <row r="230" spans="1:14" x14ac:dyDescent="0.6">
      <c r="A230" s="188"/>
      <c r="B230" s="189"/>
      <c r="C230" s="191"/>
      <c r="D230" s="191"/>
      <c r="E230" s="198"/>
      <c r="F230" s="198"/>
      <c r="G230" s="198"/>
    </row>
    <row r="231" spans="1:14" x14ac:dyDescent="0.6">
      <c r="A231" s="188"/>
      <c r="B231" s="189"/>
      <c r="C231" s="191"/>
      <c r="D231" s="191"/>
      <c r="E231" s="198"/>
      <c r="F231" s="198"/>
      <c r="G231" s="198"/>
    </row>
    <row r="232" spans="1:14" x14ac:dyDescent="0.6">
      <c r="A232" s="188"/>
      <c r="B232" s="189"/>
      <c r="C232" s="191"/>
      <c r="D232" s="191"/>
      <c r="E232" s="198"/>
      <c r="F232" s="198"/>
      <c r="G232" s="198"/>
    </row>
    <row r="233" spans="1:14" x14ac:dyDescent="0.6">
      <c r="A233" s="188"/>
      <c r="B233" s="189"/>
      <c r="C233" s="191"/>
      <c r="D233" s="191"/>
      <c r="E233" s="198"/>
      <c r="F233" s="198"/>
      <c r="G233" s="198"/>
    </row>
    <row r="234" spans="1:14" x14ac:dyDescent="0.6">
      <c r="A234" s="188"/>
      <c r="B234" s="189"/>
      <c r="C234" s="191"/>
      <c r="D234" s="191"/>
      <c r="E234" s="198"/>
      <c r="F234" s="198"/>
      <c r="G234" s="198"/>
    </row>
    <row r="235" spans="1:14" ht="27.75" x14ac:dyDescent="0.6">
      <c r="A235" s="363" t="s">
        <v>0</v>
      </c>
      <c r="B235" s="363"/>
      <c r="C235" s="363"/>
      <c r="D235" s="363"/>
      <c r="E235" s="363"/>
    </row>
    <row r="236" spans="1:14" ht="27.75" x14ac:dyDescent="0.6">
      <c r="A236" s="363" t="s">
        <v>131</v>
      </c>
      <c r="B236" s="363"/>
      <c r="C236" s="363"/>
      <c r="D236" s="363"/>
      <c r="E236" s="363"/>
    </row>
    <row r="237" spans="1:14" ht="27.75" x14ac:dyDescent="0.6">
      <c r="A237" s="367" t="s">
        <v>399</v>
      </c>
      <c r="B237" s="367"/>
      <c r="C237" s="367"/>
      <c r="D237" s="367"/>
      <c r="E237" s="367"/>
    </row>
    <row r="238" spans="1:14" x14ac:dyDescent="0.6">
      <c r="A238" s="166" t="s">
        <v>250</v>
      </c>
      <c r="B238" s="167" t="s">
        <v>233</v>
      </c>
      <c r="C238" s="168" t="s">
        <v>230</v>
      </c>
      <c r="D238" s="168" t="s">
        <v>54</v>
      </c>
      <c r="E238" s="168" t="s">
        <v>5</v>
      </c>
      <c r="M238" s="237" t="s">
        <v>56</v>
      </c>
      <c r="N238" s="241" t="s">
        <v>37</v>
      </c>
    </row>
    <row r="239" spans="1:14" x14ac:dyDescent="0.6">
      <c r="A239" s="173" t="s">
        <v>54</v>
      </c>
      <c r="B239" s="174" t="s">
        <v>54</v>
      </c>
      <c r="C239" s="230" t="s">
        <v>256</v>
      </c>
      <c r="D239" s="196">
        <f>[13]รวม!$S$14</f>
        <v>7055528.21</v>
      </c>
      <c r="E239" s="202">
        <f>SUM(D239)</f>
        <v>7055528.21</v>
      </c>
      <c r="M239" s="247">
        <f>2033350</f>
        <v>2033350</v>
      </c>
      <c r="N239" s="238" t="e">
        <f>C239-E239</f>
        <v>#VALUE!</v>
      </c>
    </row>
    <row r="240" spans="1:14" x14ac:dyDescent="0.6">
      <c r="A240" s="173"/>
      <c r="B240" s="174"/>
      <c r="C240" s="230"/>
      <c r="D240" s="176"/>
      <c r="E240" s="176"/>
      <c r="M240" s="216"/>
      <c r="N240" s="241"/>
    </row>
    <row r="241" spans="1:14" x14ac:dyDescent="0.6">
      <c r="A241" s="173"/>
      <c r="B241" s="174"/>
      <c r="C241" s="230"/>
      <c r="D241" s="176"/>
      <c r="E241" s="176"/>
      <c r="M241" s="216"/>
      <c r="N241" s="241"/>
    </row>
    <row r="242" spans="1:14" x14ac:dyDescent="0.6">
      <c r="A242" s="173"/>
      <c r="B242" s="174"/>
      <c r="C242" s="230"/>
      <c r="D242" s="176"/>
      <c r="E242" s="176"/>
      <c r="M242" s="216"/>
      <c r="N242" s="241"/>
    </row>
    <row r="243" spans="1:14" x14ac:dyDescent="0.6">
      <c r="A243" s="173"/>
      <c r="B243" s="174"/>
      <c r="C243" s="230"/>
      <c r="D243" s="176"/>
      <c r="E243" s="176"/>
      <c r="M243" s="216"/>
      <c r="N243" s="241"/>
    </row>
    <row r="244" spans="1:14" x14ac:dyDescent="0.6">
      <c r="A244" s="173"/>
      <c r="B244" s="174"/>
      <c r="C244" s="230"/>
      <c r="D244" s="176"/>
      <c r="E244" s="176"/>
      <c r="M244" s="216"/>
      <c r="N244" s="241"/>
    </row>
    <row r="245" spans="1:14" x14ac:dyDescent="0.6">
      <c r="A245" s="173"/>
      <c r="B245" s="174"/>
      <c r="C245" s="230"/>
      <c r="D245" s="176"/>
      <c r="E245" s="176"/>
      <c r="M245" s="216"/>
      <c r="N245" s="241"/>
    </row>
    <row r="246" spans="1:14" x14ac:dyDescent="0.6">
      <c r="A246" s="173"/>
      <c r="B246" s="174"/>
      <c r="C246" s="230"/>
      <c r="D246" s="176"/>
      <c r="E246" s="176"/>
      <c r="M246" s="216"/>
      <c r="N246" s="241"/>
    </row>
    <row r="247" spans="1:14" x14ac:dyDescent="0.6">
      <c r="A247" s="173"/>
      <c r="B247" s="174"/>
      <c r="C247" s="230"/>
      <c r="D247" s="176"/>
      <c r="E247" s="176"/>
      <c r="M247" s="216"/>
      <c r="N247" s="241"/>
    </row>
    <row r="248" spans="1:14" x14ac:dyDescent="0.6">
      <c r="A248" s="173"/>
      <c r="B248" s="174"/>
      <c r="C248" s="230"/>
      <c r="D248" s="176"/>
      <c r="E248" s="176"/>
      <c r="M248" s="231"/>
      <c r="N248" s="241"/>
    </row>
    <row r="249" spans="1:14" x14ac:dyDescent="0.6">
      <c r="A249" s="182"/>
      <c r="B249" s="183"/>
      <c r="C249" s="248"/>
      <c r="D249" s="184"/>
      <c r="E249" s="176"/>
      <c r="M249" s="231"/>
      <c r="N249" s="241"/>
    </row>
    <row r="250" spans="1:14" ht="24" customHeight="1" x14ac:dyDescent="0.6">
      <c r="A250" s="364" t="s">
        <v>5</v>
      </c>
      <c r="B250" s="365"/>
      <c r="C250" s="366"/>
      <c r="D250" s="239">
        <f t="shared" ref="D250" si="23">SUM(D239:D249)</f>
        <v>7055528.21</v>
      </c>
      <c r="E250" s="239">
        <f>SUM(E239:E249)</f>
        <v>7055528.21</v>
      </c>
      <c r="F250" s="48">
        <f>E250-[13]รวม!$S$117</f>
        <v>0</v>
      </c>
      <c r="M250" s="240">
        <f>SUM(M239:M249)</f>
        <v>2033350</v>
      </c>
      <c r="N250" s="238" t="e">
        <f>SUM(N239:N249)</f>
        <v>#VALUE!</v>
      </c>
    </row>
  </sheetData>
  <mergeCells count="36">
    <mergeCell ref="A62:H62"/>
    <mergeCell ref="A90:H90"/>
    <mergeCell ref="A91:H91"/>
    <mergeCell ref="A119:I119"/>
    <mergeCell ref="A120:I120"/>
    <mergeCell ref="A63:H63"/>
    <mergeCell ref="A92:H92"/>
    <mergeCell ref="A75:C75"/>
    <mergeCell ref="A104:C104"/>
    <mergeCell ref="A1:G1"/>
    <mergeCell ref="A2:G2"/>
    <mergeCell ref="A32:G32"/>
    <mergeCell ref="A33:G33"/>
    <mergeCell ref="A61:H61"/>
    <mergeCell ref="A46:C46"/>
    <mergeCell ref="A3:G3"/>
    <mergeCell ref="A34:G34"/>
    <mergeCell ref="A15:C15"/>
    <mergeCell ref="A250:C250"/>
    <mergeCell ref="A220:C220"/>
    <mergeCell ref="A191:C191"/>
    <mergeCell ref="A162:C162"/>
    <mergeCell ref="A133:C133"/>
    <mergeCell ref="A148:F148"/>
    <mergeCell ref="A149:F149"/>
    <mergeCell ref="A150:F150"/>
    <mergeCell ref="A179:H179"/>
    <mergeCell ref="A178:H178"/>
    <mergeCell ref="A177:H177"/>
    <mergeCell ref="A208:F208"/>
    <mergeCell ref="A235:E235"/>
    <mergeCell ref="A121:I121"/>
    <mergeCell ref="A207:F207"/>
    <mergeCell ref="A206:F206"/>
    <mergeCell ref="A237:E237"/>
    <mergeCell ref="A236:E236"/>
  </mergeCells>
  <pageMargins left="0.2" right="0.13" top="0.91" bottom="0.21" header="0.23" footer="0.15"/>
  <pageSetup paperSize="9" scale="7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topLeftCell="A40" zoomScale="90" zoomScaleNormal="100" zoomScaleSheetLayoutView="90" workbookViewId="0">
      <selection activeCell="B9" sqref="B9"/>
    </sheetView>
  </sheetViews>
  <sheetFormatPr defaultRowHeight="24.75" x14ac:dyDescent="0.6"/>
  <cols>
    <col min="1" max="1" width="3.85546875" style="40" customWidth="1"/>
    <col min="2" max="2" width="9.42578125" style="75" bestFit="1" customWidth="1"/>
    <col min="3" max="6" width="9.140625" style="40"/>
    <col min="7" max="7" width="9.140625" style="45"/>
    <col min="8" max="8" width="8.28515625" style="45" customWidth="1"/>
    <col min="9" max="9" width="6.5703125" style="45" customWidth="1"/>
    <col min="10" max="10" width="17.28515625" style="45" bestFit="1" customWidth="1"/>
    <col min="11" max="11" width="4.85546875" style="40" bestFit="1" customWidth="1"/>
    <col min="12" max="12" width="16.140625" style="40" bestFit="1" customWidth="1"/>
    <col min="13" max="16384" width="9.140625" style="40"/>
  </cols>
  <sheetData>
    <row r="1" spans="1:12" ht="31.5" x14ac:dyDescent="0.75">
      <c r="B1" s="249" t="s">
        <v>115</v>
      </c>
    </row>
    <row r="2" spans="1:12" x14ac:dyDescent="0.6">
      <c r="A2" s="42" t="s">
        <v>71</v>
      </c>
    </row>
    <row r="3" spans="1:12" x14ac:dyDescent="0.6">
      <c r="A3" s="103" t="s">
        <v>10</v>
      </c>
      <c r="B3" s="251"/>
      <c r="C3" s="44"/>
      <c r="D3" s="44"/>
      <c r="E3" s="44"/>
      <c r="F3" s="44"/>
      <c r="G3" s="50"/>
      <c r="H3" s="50"/>
      <c r="I3" s="50"/>
      <c r="J3" s="78"/>
      <c r="K3" s="103"/>
    </row>
    <row r="4" spans="1:12" x14ac:dyDescent="0.6">
      <c r="A4" s="103"/>
      <c r="B4" s="251" t="s">
        <v>437</v>
      </c>
      <c r="C4" s="103"/>
      <c r="D4" s="103"/>
      <c r="E4" s="103"/>
      <c r="F4" s="103"/>
      <c r="G4" s="78"/>
      <c r="H4" s="302"/>
      <c r="I4" s="78"/>
      <c r="J4" s="50">
        <v>13500</v>
      </c>
      <c r="K4" s="44" t="s">
        <v>333</v>
      </c>
      <c r="L4" s="54" t="e">
        <f>J4+J18+J26+#REF!+#REF!+#REF!+#REF!</f>
        <v>#REF!</v>
      </c>
    </row>
    <row r="5" spans="1:12" x14ac:dyDescent="0.6">
      <c r="A5" s="103"/>
      <c r="B5" s="251" t="s">
        <v>383</v>
      </c>
      <c r="C5" s="103"/>
      <c r="D5" s="103"/>
      <c r="E5" s="103"/>
      <c r="F5" s="103"/>
      <c r="G5" s="78"/>
      <c r="H5" s="302"/>
      <c r="I5" s="78"/>
      <c r="J5" s="50">
        <v>9000</v>
      </c>
      <c r="K5" s="44" t="s">
        <v>333</v>
      </c>
      <c r="L5" s="54"/>
    </row>
    <row r="6" spans="1:12" x14ac:dyDescent="0.6">
      <c r="A6" s="103"/>
      <c r="B6" s="251" t="s">
        <v>363</v>
      </c>
      <c r="C6" s="103"/>
      <c r="D6" s="103"/>
      <c r="E6" s="103"/>
      <c r="F6" s="103"/>
      <c r="G6" s="78"/>
      <c r="H6" s="302"/>
      <c r="I6" s="78"/>
      <c r="J6" s="50">
        <v>3000</v>
      </c>
      <c r="K6" s="44" t="s">
        <v>333</v>
      </c>
      <c r="L6" s="54"/>
    </row>
    <row r="7" spans="1:12" x14ac:dyDescent="0.6">
      <c r="A7" s="103"/>
      <c r="B7" s="251" t="s">
        <v>382</v>
      </c>
      <c r="C7" s="103"/>
      <c r="D7" s="103"/>
      <c r="E7" s="103"/>
      <c r="F7" s="103"/>
      <c r="G7" s="78"/>
      <c r="H7" s="302"/>
      <c r="I7" s="78"/>
      <c r="J7" s="50">
        <v>3300</v>
      </c>
      <c r="K7" s="44" t="s">
        <v>333</v>
      </c>
      <c r="L7" s="54"/>
    </row>
    <row r="8" spans="1:12" x14ac:dyDescent="0.6">
      <c r="A8" s="103"/>
      <c r="B8" s="251" t="s">
        <v>438</v>
      </c>
      <c r="C8" s="103"/>
      <c r="D8" s="103"/>
      <c r="E8" s="103"/>
      <c r="F8" s="103"/>
      <c r="G8" s="78"/>
      <c r="H8" s="302"/>
      <c r="I8" s="78"/>
      <c r="J8" s="50">
        <v>10800</v>
      </c>
      <c r="K8" s="44" t="s">
        <v>333</v>
      </c>
      <c r="L8" s="54"/>
    </row>
    <row r="9" spans="1:12" x14ac:dyDescent="0.6">
      <c r="A9" s="103"/>
      <c r="B9" s="251" t="s">
        <v>385</v>
      </c>
      <c r="C9" s="103"/>
      <c r="D9" s="103"/>
      <c r="E9" s="103"/>
      <c r="F9" s="103"/>
      <c r="G9" s="78"/>
      <c r="H9" s="302"/>
      <c r="I9" s="78"/>
      <c r="J9" s="50">
        <v>78000</v>
      </c>
      <c r="K9" s="44" t="s">
        <v>333</v>
      </c>
      <c r="L9" s="54"/>
    </row>
    <row r="10" spans="1:12" ht="25.5" thickBot="1" x14ac:dyDescent="0.65">
      <c r="A10" s="103"/>
      <c r="B10" s="251"/>
      <c r="C10" s="103"/>
      <c r="D10" s="103"/>
      <c r="E10" s="103"/>
      <c r="F10" s="103"/>
      <c r="G10" s="78"/>
      <c r="H10" s="78" t="s">
        <v>5</v>
      </c>
      <c r="I10" s="78"/>
      <c r="J10" s="79">
        <f>SUM(J4:J9)</f>
        <v>117600</v>
      </c>
      <c r="K10" s="103" t="s">
        <v>333</v>
      </c>
      <c r="L10" s="54"/>
    </row>
    <row r="11" spans="1:12" ht="25.5" thickTop="1" x14ac:dyDescent="0.6">
      <c r="A11" s="103" t="s">
        <v>18</v>
      </c>
      <c r="B11" s="251"/>
      <c r="C11" s="44"/>
      <c r="D11" s="44"/>
      <c r="E11" s="44"/>
      <c r="F11" s="44"/>
      <c r="G11" s="50"/>
      <c r="H11" s="50"/>
      <c r="I11" s="50"/>
      <c r="J11" s="78"/>
      <c r="K11" s="103"/>
      <c r="L11" s="48" t="e">
        <f>L4-จ่ายจากเงินรายรับ!D13</f>
        <v>#REF!</v>
      </c>
    </row>
    <row r="12" spans="1:12" x14ac:dyDescent="0.6">
      <c r="A12" s="44"/>
      <c r="B12" s="251" t="s">
        <v>362</v>
      </c>
      <c r="C12" s="44"/>
      <c r="D12" s="44"/>
      <c r="E12" s="44"/>
      <c r="F12" s="44"/>
      <c r="G12" s="50"/>
      <c r="H12" s="303"/>
      <c r="I12" s="50"/>
      <c r="J12" s="50">
        <v>8500</v>
      </c>
      <c r="K12" s="44" t="s">
        <v>333</v>
      </c>
    </row>
    <row r="13" spans="1:12" x14ac:dyDescent="0.6">
      <c r="A13" s="44"/>
      <c r="B13" s="251" t="s">
        <v>380</v>
      </c>
      <c r="C13" s="44"/>
      <c r="D13" s="44"/>
      <c r="E13" s="44"/>
      <c r="F13" s="44"/>
      <c r="G13" s="50"/>
      <c r="H13" s="303"/>
      <c r="I13" s="50"/>
      <c r="J13" s="50">
        <v>8300</v>
      </c>
      <c r="K13" s="44" t="s">
        <v>333</v>
      </c>
    </row>
    <row r="14" spans="1:12" x14ac:dyDescent="0.6">
      <c r="A14" s="44"/>
      <c r="B14" s="251" t="s">
        <v>381</v>
      </c>
      <c r="C14" s="44"/>
      <c r="D14" s="44"/>
      <c r="E14" s="44"/>
      <c r="F14" s="44"/>
      <c r="G14" s="50"/>
      <c r="H14" s="303"/>
      <c r="I14" s="50"/>
      <c r="J14" s="50">
        <v>7700</v>
      </c>
      <c r="K14" s="44" t="s">
        <v>333</v>
      </c>
    </row>
    <row r="15" spans="1:12" x14ac:dyDescent="0.6">
      <c r="A15" s="44"/>
      <c r="B15" s="251" t="s">
        <v>384</v>
      </c>
      <c r="C15" s="44"/>
      <c r="D15" s="44"/>
      <c r="E15" s="44"/>
      <c r="F15" s="44"/>
      <c r="G15" s="50"/>
      <c r="H15" s="303"/>
      <c r="I15" s="50"/>
      <c r="J15" s="50">
        <v>10500</v>
      </c>
      <c r="K15" s="44" t="s">
        <v>333</v>
      </c>
    </row>
    <row r="16" spans="1:12" ht="25.5" thickBot="1" x14ac:dyDescent="0.65">
      <c r="A16" s="44"/>
      <c r="B16" s="251"/>
      <c r="C16" s="44"/>
      <c r="D16" s="44"/>
      <c r="E16" s="44"/>
      <c r="F16" s="44"/>
      <c r="G16" s="50"/>
      <c r="H16" s="78" t="s">
        <v>5</v>
      </c>
      <c r="I16" s="78"/>
      <c r="J16" s="79">
        <f>SUM(J12:J15)</f>
        <v>35000</v>
      </c>
      <c r="K16" s="103" t="s">
        <v>333</v>
      </c>
    </row>
    <row r="17" spans="1:12" ht="25.5" thickTop="1" x14ac:dyDescent="0.6">
      <c r="A17" s="103" t="s">
        <v>22</v>
      </c>
      <c r="B17" s="251"/>
      <c r="C17" s="44"/>
      <c r="D17" s="44"/>
      <c r="E17" s="44"/>
      <c r="F17" s="44"/>
      <c r="G17" s="50"/>
      <c r="H17" s="50"/>
      <c r="I17" s="50"/>
      <c r="J17" s="78"/>
      <c r="K17" s="103"/>
    </row>
    <row r="18" spans="1:12" x14ac:dyDescent="0.6">
      <c r="A18" s="103"/>
      <c r="B18" s="251" t="s">
        <v>364</v>
      </c>
      <c r="C18" s="103"/>
      <c r="D18" s="103"/>
      <c r="E18" s="103"/>
      <c r="F18" s="103"/>
      <c r="G18" s="78"/>
      <c r="H18" s="302"/>
      <c r="I18" s="78"/>
      <c r="J18" s="50">
        <v>20900</v>
      </c>
      <c r="K18" s="44" t="s">
        <v>333</v>
      </c>
    </row>
    <row r="19" spans="1:12" x14ac:dyDescent="0.6">
      <c r="A19" s="103"/>
      <c r="B19" s="251" t="s">
        <v>376</v>
      </c>
      <c r="C19" s="103"/>
      <c r="D19" s="103"/>
      <c r="E19" s="103"/>
      <c r="F19" s="103"/>
      <c r="G19" s="78"/>
      <c r="H19" s="302"/>
      <c r="I19" s="78"/>
      <c r="J19" s="50">
        <v>21900</v>
      </c>
      <c r="K19" s="44" t="s">
        <v>333</v>
      </c>
    </row>
    <row r="20" spans="1:12" x14ac:dyDescent="0.6">
      <c r="A20" s="103"/>
      <c r="B20" s="251" t="s">
        <v>378</v>
      </c>
      <c r="C20" s="103"/>
      <c r="D20" s="103"/>
      <c r="E20" s="103"/>
      <c r="F20" s="103"/>
      <c r="G20" s="78"/>
      <c r="H20" s="302"/>
      <c r="I20" s="78"/>
      <c r="J20" s="50">
        <v>3990</v>
      </c>
      <c r="K20" s="44" t="s">
        <v>333</v>
      </c>
    </row>
    <row r="21" spans="1:12" x14ac:dyDescent="0.6">
      <c r="A21" s="103"/>
      <c r="B21" s="251" t="s">
        <v>379</v>
      </c>
      <c r="C21" s="103"/>
      <c r="D21" s="103"/>
      <c r="E21" s="103"/>
      <c r="F21" s="103"/>
      <c r="G21" s="78"/>
      <c r="H21" s="302"/>
      <c r="I21" s="78"/>
      <c r="J21" s="50">
        <v>7490</v>
      </c>
      <c r="K21" s="44" t="s">
        <v>333</v>
      </c>
    </row>
    <row r="22" spans="1:12" ht="25.5" thickBot="1" x14ac:dyDescent="0.65">
      <c r="A22" s="103"/>
      <c r="B22" s="251"/>
      <c r="C22" s="103"/>
      <c r="D22" s="103"/>
      <c r="E22" s="103"/>
      <c r="F22" s="103"/>
      <c r="G22" s="78"/>
      <c r="H22" s="303" t="s">
        <v>5</v>
      </c>
      <c r="I22" s="50"/>
      <c r="J22" s="63">
        <f>SUM(J18:J21)</f>
        <v>54280</v>
      </c>
      <c r="K22" s="44" t="s">
        <v>333</v>
      </c>
    </row>
    <row r="23" spans="1:12" ht="25.5" thickTop="1" x14ac:dyDescent="0.6">
      <c r="A23" s="103" t="s">
        <v>15</v>
      </c>
      <c r="B23" s="251"/>
      <c r="C23" s="44"/>
      <c r="D23" s="44"/>
      <c r="E23" s="44"/>
      <c r="F23" s="44"/>
      <c r="G23" s="50"/>
      <c r="H23" s="50"/>
      <c r="I23" s="50"/>
      <c r="J23" s="78"/>
      <c r="K23" s="103"/>
    </row>
    <row r="24" spans="1:12" x14ac:dyDescent="0.6">
      <c r="A24" s="44"/>
      <c r="B24" s="251" t="s">
        <v>365</v>
      </c>
      <c r="C24" s="44"/>
      <c r="D24" s="44"/>
      <c r="E24" s="44"/>
      <c r="F24" s="44"/>
      <c r="G24" s="50"/>
      <c r="H24" s="303"/>
      <c r="I24" s="50"/>
      <c r="J24" s="50">
        <v>105900</v>
      </c>
      <c r="K24" s="44" t="s">
        <v>333</v>
      </c>
    </row>
    <row r="25" spans="1:12" ht="25.5" thickBot="1" x14ac:dyDescent="0.65">
      <c r="A25" s="44"/>
      <c r="B25" s="251"/>
      <c r="C25" s="44"/>
      <c r="D25" s="44"/>
      <c r="E25" s="44"/>
      <c r="F25" s="44"/>
      <c r="G25" s="50"/>
      <c r="H25" s="302" t="s">
        <v>5</v>
      </c>
      <c r="I25" s="78"/>
      <c r="J25" s="79">
        <f>SUM(J24)</f>
        <v>105900</v>
      </c>
      <c r="K25" s="103" t="s">
        <v>333</v>
      </c>
    </row>
    <row r="26" spans="1:12" ht="25.5" thickTop="1" x14ac:dyDescent="0.6">
      <c r="A26" s="103" t="s">
        <v>16</v>
      </c>
      <c r="B26" s="250"/>
      <c r="C26" s="103"/>
      <c r="D26" s="103"/>
      <c r="E26" s="103"/>
      <c r="F26" s="103"/>
      <c r="G26" s="78"/>
      <c r="H26" s="50"/>
      <c r="I26" s="78"/>
      <c r="J26" s="50"/>
      <c r="K26" s="44"/>
    </row>
    <row r="27" spans="1:12" x14ac:dyDescent="0.6">
      <c r="A27" s="44"/>
      <c r="B27" s="251" t="s">
        <v>375</v>
      </c>
      <c r="C27" s="44"/>
      <c r="D27" s="44"/>
      <c r="E27" s="44"/>
      <c r="F27" s="44"/>
      <c r="G27" s="50"/>
      <c r="H27" s="303"/>
      <c r="I27" s="50"/>
      <c r="J27" s="50">
        <v>11990</v>
      </c>
      <c r="K27" s="44" t="s">
        <v>333</v>
      </c>
      <c r="L27" s="48"/>
    </row>
    <row r="28" spans="1:12" x14ac:dyDescent="0.6">
      <c r="A28" s="44"/>
      <c r="B28" s="251" t="s">
        <v>388</v>
      </c>
      <c r="C28" s="44"/>
      <c r="D28" s="44"/>
      <c r="E28" s="44"/>
      <c r="F28" s="44"/>
      <c r="G28" s="50"/>
      <c r="H28" s="303"/>
      <c r="I28" s="50"/>
      <c r="J28" s="50">
        <f>5349.53+50.47</f>
        <v>5400</v>
      </c>
      <c r="K28" s="44" t="s">
        <v>333</v>
      </c>
      <c r="L28" s="48"/>
    </row>
    <row r="29" spans="1:12" ht="25.5" thickBot="1" x14ac:dyDescent="0.65">
      <c r="A29" s="44"/>
      <c r="B29" s="251"/>
      <c r="C29" s="44"/>
      <c r="D29" s="44"/>
      <c r="E29" s="44"/>
      <c r="F29" s="44"/>
      <c r="G29" s="50"/>
      <c r="H29" s="302" t="s">
        <v>5</v>
      </c>
      <c r="I29" s="78"/>
      <c r="J29" s="79">
        <f>SUM(J27:J28)</f>
        <v>17390</v>
      </c>
      <c r="K29" s="103" t="s">
        <v>333</v>
      </c>
      <c r="L29" s="48"/>
    </row>
    <row r="30" spans="1:12" ht="26.25" thickTop="1" thickBot="1" x14ac:dyDescent="0.65">
      <c r="A30" s="44"/>
      <c r="B30" s="251"/>
      <c r="C30" s="44"/>
      <c r="D30" s="44"/>
      <c r="E30" s="44"/>
      <c r="F30" s="44"/>
      <c r="G30" s="44"/>
      <c r="H30" s="44" t="s">
        <v>169</v>
      </c>
      <c r="I30" s="50"/>
      <c r="J30" s="324">
        <f>J10+J16+J22+J25+J29</f>
        <v>330170</v>
      </c>
      <c r="K30" s="103" t="s">
        <v>333</v>
      </c>
      <c r="L30" s="48">
        <f>L27-จ่ายจากเงินรายรับ!D13</f>
        <v>-330170</v>
      </c>
    </row>
    <row r="31" spans="1:12" ht="29.25" customHeight="1" thickTop="1" x14ac:dyDescent="0.6">
      <c r="A31" s="44"/>
      <c r="B31" s="251"/>
      <c r="C31" s="44"/>
      <c r="D31" s="44"/>
      <c r="E31" s="44"/>
      <c r="F31" s="44"/>
      <c r="G31" s="50"/>
      <c r="H31" s="303"/>
      <c r="I31" s="50"/>
      <c r="J31" s="50"/>
      <c r="K31" s="44"/>
    </row>
    <row r="32" spans="1:12" ht="29.25" customHeight="1" x14ac:dyDescent="0.6">
      <c r="A32" s="44"/>
      <c r="B32" s="251"/>
      <c r="C32" s="44"/>
      <c r="D32" s="44"/>
      <c r="E32" s="44"/>
      <c r="F32" s="44"/>
      <c r="G32" s="50"/>
      <c r="H32" s="303"/>
      <c r="I32" s="50"/>
      <c r="J32" s="50"/>
      <c r="K32" s="44"/>
    </row>
    <row r="33" spans="1:12" ht="29.25" customHeight="1" x14ac:dyDescent="0.6">
      <c r="A33" s="44"/>
      <c r="B33" s="251"/>
      <c r="C33" s="44"/>
      <c r="D33" s="44"/>
      <c r="E33" s="44"/>
      <c r="F33" s="44"/>
      <c r="G33" s="50"/>
      <c r="H33" s="303"/>
      <c r="I33" s="50"/>
      <c r="J33" s="50"/>
      <c r="K33" s="44"/>
    </row>
    <row r="34" spans="1:12" x14ac:dyDescent="0.6">
      <c r="A34" s="42" t="s">
        <v>70</v>
      </c>
    </row>
    <row r="35" spans="1:12" x14ac:dyDescent="0.6">
      <c r="A35" s="42"/>
      <c r="B35" s="251" t="s">
        <v>366</v>
      </c>
      <c r="C35" s="44"/>
      <c r="D35" s="44"/>
      <c r="E35" s="44"/>
      <c r="F35" s="44"/>
      <c r="G35" s="50"/>
      <c r="H35" s="50"/>
      <c r="I35" s="50"/>
      <c r="J35" s="50">
        <v>198000</v>
      </c>
      <c r="K35" s="44" t="s">
        <v>333</v>
      </c>
    </row>
    <row r="36" spans="1:12" x14ac:dyDescent="0.6">
      <c r="A36" s="42"/>
      <c r="B36" s="251" t="s">
        <v>367</v>
      </c>
      <c r="C36" s="44"/>
      <c r="D36" s="44"/>
      <c r="E36" s="44"/>
      <c r="F36" s="44"/>
      <c r="G36" s="50"/>
      <c r="H36" s="50"/>
      <c r="I36" s="50"/>
      <c r="J36" s="50">
        <v>204000</v>
      </c>
      <c r="K36" s="44" t="s">
        <v>333</v>
      </c>
    </row>
    <row r="37" spans="1:12" x14ac:dyDescent="0.6">
      <c r="B37" s="251" t="s">
        <v>368</v>
      </c>
      <c r="C37" s="44"/>
      <c r="D37" s="44"/>
      <c r="E37" s="44"/>
      <c r="F37" s="44"/>
      <c r="G37" s="50"/>
      <c r="H37" s="50"/>
      <c r="I37" s="50"/>
      <c r="J37" s="50">
        <f>225000</f>
        <v>225000</v>
      </c>
      <c r="K37" s="44" t="s">
        <v>333</v>
      </c>
    </row>
    <row r="38" spans="1:12" x14ac:dyDescent="0.6">
      <c r="B38" s="251" t="s">
        <v>369</v>
      </c>
      <c r="C38" s="44"/>
      <c r="D38" s="44"/>
      <c r="E38" s="44"/>
      <c r="F38" s="44"/>
      <c r="G38" s="50"/>
      <c r="H38" s="50"/>
      <c r="I38" s="50"/>
      <c r="J38" s="50">
        <f>227000+3000</f>
        <v>230000</v>
      </c>
      <c r="K38" s="44" t="s">
        <v>333</v>
      </c>
    </row>
    <row r="39" spans="1:12" x14ac:dyDescent="0.6">
      <c r="B39" s="295" t="s">
        <v>370</v>
      </c>
      <c r="C39" s="295"/>
      <c r="D39" s="295"/>
      <c r="E39" s="295"/>
      <c r="F39" s="295"/>
      <c r="G39" s="295"/>
      <c r="H39" s="295"/>
      <c r="I39" s="50"/>
      <c r="J39" s="296">
        <v>57000</v>
      </c>
      <c r="K39" s="44" t="s">
        <v>333</v>
      </c>
    </row>
    <row r="40" spans="1:12" x14ac:dyDescent="0.6">
      <c r="B40" s="295" t="s">
        <v>371</v>
      </c>
      <c r="C40" s="295"/>
      <c r="D40" s="295"/>
      <c r="E40" s="295"/>
      <c r="F40" s="295"/>
      <c r="G40" s="295"/>
      <c r="H40" s="295"/>
      <c r="I40" s="50"/>
      <c r="J40" s="296">
        <v>365000</v>
      </c>
      <c r="K40" s="44" t="s">
        <v>333</v>
      </c>
    </row>
    <row r="41" spans="1:12" x14ac:dyDescent="0.6">
      <c r="B41" s="295" t="s">
        <v>372</v>
      </c>
      <c r="C41" s="295"/>
      <c r="D41" s="295"/>
      <c r="E41" s="295"/>
      <c r="F41" s="295"/>
      <c r="G41" s="295"/>
      <c r="H41" s="295"/>
      <c r="I41" s="50"/>
      <c r="J41" s="296">
        <f>230000+4000</f>
        <v>234000</v>
      </c>
      <c r="K41" s="44" t="s">
        <v>333</v>
      </c>
      <c r="L41" s="48"/>
    </row>
    <row r="42" spans="1:12" x14ac:dyDescent="0.6">
      <c r="B42" s="321" t="s">
        <v>373</v>
      </c>
      <c r="C42" s="295"/>
      <c r="D42" s="295"/>
      <c r="E42" s="295"/>
      <c r="F42" s="295"/>
      <c r="G42" s="295"/>
      <c r="H42" s="295"/>
      <c r="I42" s="50"/>
      <c r="J42" s="296">
        <v>20000</v>
      </c>
      <c r="K42" s="44" t="s">
        <v>333</v>
      </c>
    </row>
    <row r="43" spans="1:12" x14ac:dyDescent="0.6">
      <c r="B43" s="295" t="s">
        <v>374</v>
      </c>
      <c r="C43" s="295"/>
      <c r="D43" s="295"/>
      <c r="E43" s="295"/>
      <c r="F43" s="295"/>
      <c r="G43" s="295"/>
      <c r="H43" s="295"/>
      <c r="I43" s="50"/>
      <c r="J43" s="296">
        <v>33000</v>
      </c>
      <c r="K43" s="44" t="s">
        <v>333</v>
      </c>
      <c r="L43" s="48">
        <f>SUM(J35:J43)</f>
        <v>1566000</v>
      </c>
    </row>
    <row r="44" spans="1:12" ht="25.5" thickBot="1" x14ac:dyDescent="0.65">
      <c r="B44" s="295"/>
      <c r="C44" s="295"/>
      <c r="D44" s="295"/>
      <c r="E44" s="295"/>
      <c r="F44" s="295"/>
      <c r="G44" s="295"/>
      <c r="H44" s="304" t="s">
        <v>5</v>
      </c>
      <c r="I44" s="78"/>
      <c r="J44" s="305">
        <f>SUM(J35:J43)</f>
        <v>1566000</v>
      </c>
      <c r="K44" s="103" t="s">
        <v>333</v>
      </c>
      <c r="L44" s="48">
        <f>L43-จ่ายจากเงินรายรับ!D14</f>
        <v>0</v>
      </c>
    </row>
    <row r="45" spans="1:12" ht="25.5" thickTop="1" x14ac:dyDescent="0.6">
      <c r="B45" s="304" t="s">
        <v>180</v>
      </c>
      <c r="C45" s="295"/>
      <c r="D45" s="295"/>
      <c r="E45" s="295"/>
      <c r="F45" s="295"/>
      <c r="G45" s="295"/>
      <c r="H45" s="295"/>
      <c r="I45" s="50"/>
      <c r="J45" s="296"/>
      <c r="K45" s="44"/>
      <c r="L45" s="48"/>
    </row>
    <row r="46" spans="1:12" x14ac:dyDescent="0.6">
      <c r="B46" s="322" t="s">
        <v>377</v>
      </c>
      <c r="C46" s="44"/>
      <c r="D46" s="44"/>
      <c r="E46" s="44"/>
      <c r="F46" s="44"/>
      <c r="G46" s="50"/>
      <c r="H46" s="50"/>
      <c r="I46" s="50"/>
      <c r="J46" s="323">
        <v>2081695</v>
      </c>
      <c r="K46" s="44" t="s">
        <v>333</v>
      </c>
      <c r="L46" s="48"/>
    </row>
    <row r="47" spans="1:12" ht="25.5" thickBot="1" x14ac:dyDescent="0.65">
      <c r="A47" s="42"/>
      <c r="B47" s="250"/>
      <c r="C47" s="44"/>
      <c r="D47" s="44"/>
      <c r="E47" s="44"/>
      <c r="F47" s="44"/>
      <c r="G47" s="50"/>
      <c r="H47" s="304" t="s">
        <v>5</v>
      </c>
      <c r="I47" s="78"/>
      <c r="J47" s="79">
        <f>SUM(J46)</f>
        <v>2081695</v>
      </c>
      <c r="K47" s="103" t="s">
        <v>333</v>
      </c>
    </row>
    <row r="48" spans="1:12" ht="25.5" thickTop="1" x14ac:dyDescent="0.6">
      <c r="A48" s="42"/>
      <c r="B48" s="250" t="s">
        <v>386</v>
      </c>
      <c r="C48" s="44"/>
      <c r="D48" s="44"/>
      <c r="E48" s="44"/>
      <c r="F48" s="44"/>
      <c r="G48" s="50"/>
      <c r="H48" s="304"/>
      <c r="I48" s="78"/>
      <c r="J48" s="78"/>
      <c r="K48" s="103"/>
    </row>
    <row r="49" spans="1:12" x14ac:dyDescent="0.6">
      <c r="A49" s="42"/>
      <c r="B49" s="251" t="s">
        <v>387</v>
      </c>
      <c r="C49" s="44"/>
      <c r="D49" s="44"/>
      <c r="E49" s="44"/>
      <c r="F49" s="44"/>
      <c r="G49" s="50"/>
      <c r="H49" s="295"/>
      <c r="I49" s="50"/>
      <c r="J49" s="50">
        <v>200000</v>
      </c>
      <c r="K49" s="44" t="s">
        <v>333</v>
      </c>
    </row>
    <row r="50" spans="1:12" ht="25.5" thickBot="1" x14ac:dyDescent="0.65">
      <c r="A50" s="42"/>
      <c r="B50" s="250"/>
      <c r="C50" s="44"/>
      <c r="D50" s="44"/>
      <c r="E50" s="44"/>
      <c r="F50" s="44"/>
      <c r="G50" s="50"/>
      <c r="H50" s="304" t="s">
        <v>5</v>
      </c>
      <c r="I50" s="78"/>
      <c r="J50" s="330">
        <f>SUM(J49)</f>
        <v>200000</v>
      </c>
      <c r="K50" s="103" t="s">
        <v>333</v>
      </c>
    </row>
    <row r="51" spans="1:12" ht="25.5" thickTop="1" x14ac:dyDescent="0.6">
      <c r="A51" s="42"/>
      <c r="B51" s="251"/>
      <c r="C51" s="44"/>
      <c r="D51" s="44"/>
      <c r="F51" s="44"/>
      <c r="G51" s="50"/>
      <c r="H51" s="103"/>
      <c r="I51" s="78"/>
      <c r="J51" s="331"/>
      <c r="K51" s="103"/>
      <c r="L51" s="48">
        <f>J44+J47+J50</f>
        <v>3847695</v>
      </c>
    </row>
    <row r="52" spans="1:12" x14ac:dyDescent="0.6">
      <c r="A52" s="42"/>
      <c r="B52" s="251"/>
      <c r="C52" s="44"/>
      <c r="D52" s="44"/>
      <c r="E52" s="44"/>
      <c r="F52" s="44"/>
      <c r="G52" s="50"/>
      <c r="H52" s="50"/>
      <c r="I52" s="50"/>
      <c r="J52" s="50"/>
      <c r="K52" s="44"/>
    </row>
    <row r="53" spans="1:12" x14ac:dyDescent="0.6">
      <c r="A53" s="42"/>
      <c r="B53" s="368"/>
      <c r="C53" s="368"/>
      <c r="D53" s="368"/>
      <c r="E53" s="368"/>
      <c r="F53" s="368"/>
      <c r="G53" s="368"/>
      <c r="H53" s="368"/>
      <c r="I53" s="296"/>
      <c r="J53" s="296"/>
      <c r="K53" s="44"/>
    </row>
    <row r="54" spans="1:12" x14ac:dyDescent="0.6">
      <c r="A54" s="42"/>
      <c r="B54" s="251"/>
      <c r="C54" s="44"/>
      <c r="D54" s="44"/>
      <c r="E54" s="44"/>
      <c r="F54" s="44"/>
      <c r="G54" s="50"/>
      <c r="H54" s="50"/>
      <c r="I54" s="50"/>
      <c r="J54" s="50"/>
      <c r="K54" s="44"/>
    </row>
    <row r="55" spans="1:12" x14ac:dyDescent="0.6">
      <c r="B55" s="250"/>
      <c r="C55" s="44"/>
      <c r="D55" s="44"/>
      <c r="E55" s="44"/>
      <c r="F55" s="44"/>
      <c r="G55" s="50"/>
      <c r="H55" s="50"/>
      <c r="I55" s="50"/>
      <c r="J55" s="50"/>
      <c r="K55" s="44"/>
    </row>
    <row r="56" spans="1:12" x14ac:dyDescent="0.6">
      <c r="B56" s="251"/>
      <c r="C56" s="44"/>
      <c r="D56" s="44"/>
      <c r="E56" s="44"/>
      <c r="F56" s="44"/>
      <c r="G56" s="50"/>
      <c r="H56" s="50"/>
      <c r="I56" s="50"/>
      <c r="J56" s="50"/>
      <c r="K56" s="44"/>
    </row>
    <row r="57" spans="1:12" x14ac:dyDescent="0.6">
      <c r="B57" s="251"/>
      <c r="C57" s="44"/>
      <c r="D57" s="44"/>
      <c r="E57" s="44"/>
      <c r="F57" s="44"/>
      <c r="G57" s="50"/>
      <c r="H57" s="50"/>
      <c r="I57" s="50"/>
      <c r="J57" s="50"/>
      <c r="K57" s="44"/>
    </row>
    <row r="58" spans="1:12" x14ac:dyDescent="0.6">
      <c r="B58" s="251"/>
      <c r="C58" s="44"/>
      <c r="D58" s="44"/>
      <c r="E58" s="44"/>
      <c r="F58" s="44"/>
      <c r="G58" s="50"/>
      <c r="H58" s="50"/>
      <c r="I58" s="50"/>
      <c r="J58" s="50"/>
      <c r="K58" s="44"/>
    </row>
    <row r="59" spans="1:12" x14ac:dyDescent="0.6">
      <c r="B59" s="251"/>
      <c r="C59" s="44"/>
      <c r="D59" s="44"/>
      <c r="E59" s="44"/>
      <c r="F59" s="44"/>
      <c r="G59" s="50"/>
      <c r="H59" s="50"/>
      <c r="I59" s="50"/>
      <c r="J59" s="50"/>
      <c r="K59" s="44"/>
    </row>
    <row r="60" spans="1:12" x14ac:dyDescent="0.6">
      <c r="B60" s="251"/>
      <c r="C60" s="44"/>
      <c r="D60" s="44"/>
      <c r="E60" s="44"/>
      <c r="F60" s="44"/>
      <c r="G60" s="50"/>
      <c r="H60" s="50"/>
      <c r="I60" s="50"/>
      <c r="J60" s="50"/>
      <c r="K60" s="54"/>
    </row>
    <row r="62" spans="1:12" x14ac:dyDescent="0.6">
      <c r="B62" s="252"/>
    </row>
    <row r="63" spans="1:12" x14ac:dyDescent="0.6">
      <c r="B63" s="251"/>
    </row>
  </sheetData>
  <mergeCells count="1">
    <mergeCell ref="B53:H53"/>
  </mergeCells>
  <pageMargins left="0.73" right="0.38" top="0.43" bottom="0.28999999999999998" header="0.44" footer="0.3"/>
  <pageSetup paperSize="9" scale="98" orientation="portrait" horizontalDpi="300" verticalDpi="300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10" workbookViewId="0">
      <selection activeCell="C13" sqref="C13:C21"/>
    </sheetView>
  </sheetViews>
  <sheetFormatPr defaultRowHeight="24.75" x14ac:dyDescent="0.6"/>
  <cols>
    <col min="1" max="1" width="49.85546875" style="40" bestFit="1" customWidth="1"/>
    <col min="2" max="2" width="11.42578125" style="40" customWidth="1"/>
    <col min="3" max="3" width="18.140625" style="45" customWidth="1"/>
    <col min="4" max="4" width="18" style="45" customWidth="1"/>
    <col min="5" max="5" width="16.5703125" style="40" bestFit="1" customWidth="1"/>
    <col min="6" max="16384" width="9.140625" style="40"/>
  </cols>
  <sheetData>
    <row r="1" spans="1:23" ht="31.5" x14ac:dyDescent="0.75">
      <c r="A1" s="337" t="s">
        <v>0</v>
      </c>
      <c r="B1" s="337"/>
      <c r="C1" s="337"/>
      <c r="D1" s="337"/>
    </row>
    <row r="2" spans="1:23" ht="31.5" x14ac:dyDescent="0.75">
      <c r="A2" s="337" t="s">
        <v>116</v>
      </c>
      <c r="B2" s="337"/>
      <c r="C2" s="337"/>
      <c r="D2" s="337"/>
    </row>
    <row r="3" spans="1:23" ht="31.5" x14ac:dyDescent="0.75">
      <c r="A3" s="369" t="s">
        <v>389</v>
      </c>
      <c r="B3" s="369"/>
      <c r="C3" s="369"/>
      <c r="D3" s="369"/>
    </row>
    <row r="4" spans="1:23" s="256" customFormat="1" ht="22.5" x14ac:dyDescent="0.55000000000000004">
      <c r="A4" s="253" t="s">
        <v>60</v>
      </c>
      <c r="B4" s="254" t="s">
        <v>117</v>
      </c>
      <c r="C4" s="255" t="s">
        <v>118</v>
      </c>
      <c r="D4" s="253" t="s">
        <v>119</v>
      </c>
      <c r="Q4" s="257"/>
      <c r="R4" s="257"/>
      <c r="S4" s="257"/>
      <c r="T4" s="257"/>
      <c r="U4" s="257"/>
      <c r="V4" s="257"/>
      <c r="W4" s="257"/>
    </row>
    <row r="5" spans="1:23" s="256" customFormat="1" ht="22.5" x14ac:dyDescent="0.55000000000000004">
      <c r="A5" s="1" t="s">
        <v>121</v>
      </c>
      <c r="B5" s="2" t="s">
        <v>414</v>
      </c>
      <c r="C5" s="258">
        <f>กระดาษทำการ!I5</f>
        <v>0</v>
      </c>
      <c r="D5" s="258"/>
      <c r="Q5" s="257"/>
      <c r="R5" s="257"/>
      <c r="S5" s="257"/>
      <c r="T5" s="257"/>
      <c r="U5" s="257"/>
      <c r="V5" s="257"/>
      <c r="W5" s="257"/>
    </row>
    <row r="6" spans="1:23" s="17" customFormat="1" ht="22.5" x14ac:dyDescent="0.5">
      <c r="A6" s="5" t="s">
        <v>122</v>
      </c>
      <c r="B6" s="6" t="s">
        <v>415</v>
      </c>
      <c r="C6" s="15">
        <f>กระดาษทำการ!I6</f>
        <v>383.34000000000697</v>
      </c>
      <c r="D6" s="15"/>
    </row>
    <row r="7" spans="1:23" s="17" customFormat="1" ht="22.5" x14ac:dyDescent="0.5">
      <c r="A7" s="5" t="s">
        <v>123</v>
      </c>
      <c r="B7" s="6" t="s">
        <v>416</v>
      </c>
      <c r="C7" s="15">
        <f>กระดาษทำการ!I7</f>
        <v>10645186.189999999</v>
      </c>
      <c r="D7" s="15"/>
    </row>
    <row r="8" spans="1:23" s="17" customFormat="1" ht="22.5" x14ac:dyDescent="0.5">
      <c r="A8" s="9" t="s">
        <v>151</v>
      </c>
      <c r="B8" s="6" t="s">
        <v>417</v>
      </c>
      <c r="C8" s="15">
        <f>กระดาษทำการ!I8</f>
        <v>2112779.2599999998</v>
      </c>
      <c r="D8" s="15"/>
    </row>
    <row r="9" spans="1:23" s="17" customFormat="1" ht="22.5" x14ac:dyDescent="0.5">
      <c r="A9" s="9" t="s">
        <v>152</v>
      </c>
      <c r="B9" s="10" t="s">
        <v>418</v>
      </c>
      <c r="C9" s="15">
        <f>กระดาษทำการ!I9</f>
        <v>0</v>
      </c>
      <c r="D9" s="15"/>
      <c r="Q9" s="259"/>
      <c r="R9" s="259"/>
      <c r="S9" s="259"/>
      <c r="T9" s="259"/>
      <c r="U9" s="259"/>
      <c r="V9" s="259"/>
      <c r="W9" s="259"/>
    </row>
    <row r="10" spans="1:23" s="17" customFormat="1" ht="22.5" x14ac:dyDescent="0.5">
      <c r="A10" s="23" t="s">
        <v>329</v>
      </c>
      <c r="B10" s="10" t="s">
        <v>419</v>
      </c>
      <c r="C10" s="15">
        <f>กระดาษทำการ!I10</f>
        <v>0</v>
      </c>
      <c r="D10" s="15"/>
      <c r="Q10" s="259"/>
      <c r="R10" s="259"/>
      <c r="S10" s="259"/>
      <c r="T10" s="259"/>
      <c r="U10" s="259"/>
      <c r="V10" s="259"/>
      <c r="W10" s="259"/>
    </row>
    <row r="11" spans="1:23" s="17" customFormat="1" ht="22.5" x14ac:dyDescent="0.5">
      <c r="A11" s="11" t="s">
        <v>267</v>
      </c>
      <c r="B11" s="10" t="s">
        <v>420</v>
      </c>
      <c r="C11" s="15">
        <f>กระดาษทำการ!I11</f>
        <v>13.950000000000292</v>
      </c>
      <c r="D11" s="15"/>
    </row>
    <row r="12" spans="1:23" s="17" customFormat="1" ht="22.5" x14ac:dyDescent="0.5">
      <c r="A12" s="11" t="s">
        <v>268</v>
      </c>
      <c r="B12" s="10" t="s">
        <v>421</v>
      </c>
      <c r="C12" s="15">
        <f>กระดาษทำการ!I12</f>
        <v>0</v>
      </c>
      <c r="D12" s="15"/>
      <c r="E12" s="273">
        <f>SUM(C5:C12)</f>
        <v>12758362.739999998</v>
      </c>
    </row>
    <row r="13" spans="1:23" s="17" customFormat="1" ht="22.5" x14ac:dyDescent="0.5">
      <c r="A13" s="309" t="s">
        <v>188</v>
      </c>
      <c r="B13" s="12">
        <v>110420000</v>
      </c>
      <c r="C13" s="15">
        <f>กระดาษทำการ!I13</f>
        <v>51700.000000000138</v>
      </c>
      <c r="D13" s="15"/>
    </row>
    <row r="14" spans="1:23" s="17" customFormat="1" ht="22.5" x14ac:dyDescent="0.5">
      <c r="A14" s="9" t="s">
        <v>173</v>
      </c>
      <c r="B14" s="6" t="s">
        <v>422</v>
      </c>
      <c r="C14" s="15">
        <f>กระดาษทำการ!I14</f>
        <v>0</v>
      </c>
      <c r="D14" s="15"/>
    </row>
    <row r="15" spans="1:23" s="17" customFormat="1" ht="22.5" x14ac:dyDescent="0.5">
      <c r="A15" s="5" t="s">
        <v>120</v>
      </c>
      <c r="B15" s="6" t="s">
        <v>423</v>
      </c>
      <c r="C15" s="15">
        <f>กระดาษทำการ!I15</f>
        <v>2199.25</v>
      </c>
      <c r="D15" s="15"/>
      <c r="Q15" s="259"/>
      <c r="R15" s="259"/>
      <c r="S15" s="259"/>
      <c r="T15" s="259"/>
      <c r="U15" s="259"/>
      <c r="V15" s="259"/>
      <c r="W15" s="259"/>
    </row>
    <row r="16" spans="1:23" s="17" customFormat="1" ht="22.5" x14ac:dyDescent="0.5">
      <c r="A16" s="5" t="s">
        <v>187</v>
      </c>
      <c r="B16" s="6" t="s">
        <v>424</v>
      </c>
      <c r="C16" s="15">
        <f>กระดาษทำการ!I16</f>
        <v>0</v>
      </c>
      <c r="D16" s="15"/>
      <c r="Q16" s="259"/>
      <c r="R16" s="259"/>
      <c r="S16" s="259"/>
      <c r="T16" s="259"/>
      <c r="U16" s="259"/>
      <c r="V16" s="259"/>
      <c r="W16" s="259"/>
    </row>
    <row r="17" spans="1:23" s="17" customFormat="1" ht="22.5" x14ac:dyDescent="0.5">
      <c r="A17" s="5" t="s">
        <v>191</v>
      </c>
      <c r="B17" s="6" t="s">
        <v>425</v>
      </c>
      <c r="C17" s="15">
        <f>กระดาษทำการ!I17</f>
        <v>26877.01</v>
      </c>
      <c r="D17" s="15"/>
      <c r="Q17" s="259"/>
      <c r="R17" s="259"/>
      <c r="S17" s="259"/>
      <c r="T17" s="259"/>
      <c r="U17" s="259"/>
      <c r="V17" s="259"/>
      <c r="W17" s="259"/>
    </row>
    <row r="18" spans="1:23" s="17" customFormat="1" ht="22.5" x14ac:dyDescent="0.5">
      <c r="A18" s="5" t="s">
        <v>45</v>
      </c>
      <c r="B18" s="6" t="s">
        <v>426</v>
      </c>
      <c r="C18" s="15">
        <f>กระดาษทำการ!I18</f>
        <v>0</v>
      </c>
      <c r="D18" s="15"/>
      <c r="Q18" s="259"/>
      <c r="R18" s="259"/>
      <c r="S18" s="259"/>
      <c r="T18" s="259"/>
      <c r="U18" s="259"/>
      <c r="V18" s="259"/>
      <c r="W18" s="259"/>
    </row>
    <row r="19" spans="1:23" s="17" customFormat="1" ht="22.5" x14ac:dyDescent="0.5">
      <c r="A19" s="5" t="s">
        <v>163</v>
      </c>
      <c r="B19" s="6" t="s">
        <v>427</v>
      </c>
      <c r="C19" s="15">
        <f>กระดาษทำการ!I19</f>
        <v>0</v>
      </c>
      <c r="D19" s="15"/>
    </row>
    <row r="20" spans="1:23" s="17" customFormat="1" ht="22.5" x14ac:dyDescent="0.5">
      <c r="A20" s="5" t="s">
        <v>153</v>
      </c>
      <c r="B20" s="6" t="s">
        <v>428</v>
      </c>
      <c r="C20" s="15">
        <f>กระดาษทำการ!I20</f>
        <v>1057501.3600000001</v>
      </c>
      <c r="D20" s="15"/>
      <c r="G20" s="261"/>
    </row>
    <row r="21" spans="1:23" s="17" customFormat="1" ht="22.5" x14ac:dyDescent="0.5">
      <c r="A21" s="9" t="s">
        <v>335</v>
      </c>
      <c r="B21" s="13" t="s">
        <v>429</v>
      </c>
      <c r="C21" s="15">
        <f>กระดาษทำการ!I21</f>
        <v>51700</v>
      </c>
      <c r="D21" s="15"/>
      <c r="G21" s="261"/>
    </row>
    <row r="22" spans="1:23" s="17" customFormat="1" ht="22.5" x14ac:dyDescent="0.5">
      <c r="A22" s="9" t="s">
        <v>288</v>
      </c>
      <c r="B22" s="13" t="s">
        <v>430</v>
      </c>
      <c r="C22" s="15"/>
      <c r="D22" s="15">
        <f>กระดาษทำการ!J22</f>
        <v>191095</v>
      </c>
    </row>
    <row r="23" spans="1:23" s="17" customFormat="1" ht="22.5" x14ac:dyDescent="0.5">
      <c r="A23" s="9" t="s">
        <v>353</v>
      </c>
      <c r="B23" s="13" t="s">
        <v>431</v>
      </c>
      <c r="C23" s="15"/>
      <c r="D23" s="15">
        <f>กระดาษทำการ!J23</f>
        <v>-9.4587448984384537E-11</v>
      </c>
    </row>
    <row r="24" spans="1:23" s="17" customFormat="1" ht="22.5" x14ac:dyDescent="0.5">
      <c r="A24" s="9" t="s">
        <v>294</v>
      </c>
      <c r="B24" s="13" t="s">
        <v>430</v>
      </c>
      <c r="C24" s="15"/>
      <c r="D24" s="15">
        <f>กระดาษทำการ!J24</f>
        <v>0</v>
      </c>
    </row>
    <row r="25" spans="1:23" s="17" customFormat="1" ht="22.5" x14ac:dyDescent="0.5">
      <c r="A25" s="5" t="s">
        <v>129</v>
      </c>
      <c r="B25" s="13" t="s">
        <v>432</v>
      </c>
      <c r="C25" s="15"/>
      <c r="D25" s="15">
        <f>กระดาษทำการ!J25</f>
        <v>455147.56999999995</v>
      </c>
    </row>
    <row r="26" spans="1:23" s="17" customFormat="1" ht="22.5" x14ac:dyDescent="0.5">
      <c r="A26" s="9" t="s">
        <v>127</v>
      </c>
      <c r="B26" s="6" t="s">
        <v>433</v>
      </c>
      <c r="C26" s="15"/>
      <c r="D26" s="15">
        <f>กระดาษทำการ!J26</f>
        <v>5844545.8575000009</v>
      </c>
      <c r="E26" s="262">
        <f>D26-งบเงินสะสม16!$I$18</f>
        <v>0</v>
      </c>
      <c r="F26" s="262"/>
    </row>
    <row r="27" spans="1:23" s="17" customFormat="1" ht="22.5" x14ac:dyDescent="0.5">
      <c r="A27" s="5" t="s">
        <v>154</v>
      </c>
      <c r="B27" s="13" t="s">
        <v>434</v>
      </c>
      <c r="C27" s="308"/>
      <c r="D27" s="15">
        <f>กระดาษทำการ!J27</f>
        <v>7405851.9325000001</v>
      </c>
      <c r="E27" s="262"/>
      <c r="F27" s="262"/>
    </row>
    <row r="28" spans="1:23" x14ac:dyDescent="0.6">
      <c r="A28" s="23" t="s">
        <v>336</v>
      </c>
      <c r="B28" s="316" t="s">
        <v>435</v>
      </c>
      <c r="C28" s="98"/>
      <c r="D28" s="28">
        <f>กระดาษทำการ!J28</f>
        <v>51700</v>
      </c>
      <c r="E28" s="48">
        <f>C28-D28</f>
        <v>-51700</v>
      </c>
    </row>
    <row r="29" spans="1:23" ht="25.5" thickBot="1" x14ac:dyDescent="0.65">
      <c r="A29" s="352" t="s">
        <v>5</v>
      </c>
      <c r="B29" s="354"/>
      <c r="C29" s="263">
        <f>SUM(C5:C28)</f>
        <v>13948340.359999998</v>
      </c>
      <c r="D29" s="263">
        <f>SUM(D22:D28)</f>
        <v>13948340.359999999</v>
      </c>
      <c r="E29" s="48">
        <f>C29-D29</f>
        <v>0</v>
      </c>
    </row>
    <row r="30" spans="1:23" ht="25.5" thickTop="1" x14ac:dyDescent="0.6"/>
  </sheetData>
  <mergeCells count="4">
    <mergeCell ref="A1:D1"/>
    <mergeCell ref="A2:D2"/>
    <mergeCell ref="A3:D3"/>
    <mergeCell ref="A29:B29"/>
  </mergeCells>
  <pageMargins left="1.27" right="0.39" top="0.82" bottom="0.12" header="0.78" footer="0.24"/>
  <pageSetup paperSize="9" scale="90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view="pageBreakPreview" topLeftCell="A3" zoomScaleNormal="100" zoomScaleSheetLayoutView="100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C6" sqref="C6"/>
    </sheetView>
  </sheetViews>
  <sheetFormatPr defaultColWidth="16.7109375" defaultRowHeight="24.75" x14ac:dyDescent="0.6"/>
  <cols>
    <col min="1" max="1" width="52.28515625" style="265" customWidth="1"/>
    <col min="2" max="2" width="10.85546875" style="286" bestFit="1" customWidth="1"/>
    <col min="3" max="4" width="16.7109375" style="265"/>
    <col min="5" max="10" width="16.7109375" style="285"/>
    <col min="11" max="16" width="16.7109375" style="81"/>
    <col min="17" max="16384" width="16.7109375" style="265"/>
  </cols>
  <sheetData>
    <row r="1" spans="1:23" x14ac:dyDescent="0.6">
      <c r="A1" s="375" t="s">
        <v>155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23" x14ac:dyDescent="0.6">
      <c r="A2" s="376" t="s">
        <v>352</v>
      </c>
      <c r="B2" s="376"/>
      <c r="C2" s="376"/>
      <c r="D2" s="376"/>
      <c r="E2" s="376"/>
      <c r="F2" s="376"/>
      <c r="G2" s="376"/>
      <c r="H2" s="376"/>
      <c r="I2" s="376"/>
      <c r="J2" s="376"/>
      <c r="Q2" s="266"/>
      <c r="R2" s="266"/>
      <c r="S2" s="266"/>
      <c r="T2" s="266"/>
      <c r="U2" s="266"/>
      <c r="V2" s="266"/>
      <c r="W2" s="266"/>
    </row>
    <row r="3" spans="1:23" x14ac:dyDescent="0.6">
      <c r="A3" s="377" t="s">
        <v>60</v>
      </c>
      <c r="B3" s="379" t="s">
        <v>117</v>
      </c>
      <c r="C3" s="381" t="s">
        <v>156</v>
      </c>
      <c r="D3" s="381"/>
      <c r="E3" s="382" t="s">
        <v>158</v>
      </c>
      <c r="F3" s="383"/>
      <c r="G3" s="382" t="s">
        <v>157</v>
      </c>
      <c r="H3" s="383"/>
      <c r="I3" s="382" t="s">
        <v>170</v>
      </c>
      <c r="J3" s="383"/>
      <c r="Q3" s="266"/>
      <c r="R3" s="266"/>
      <c r="S3" s="266"/>
      <c r="T3" s="266"/>
      <c r="U3" s="266"/>
      <c r="V3" s="266"/>
      <c r="W3" s="266"/>
    </row>
    <row r="4" spans="1:23" s="256" customFormat="1" ht="22.5" x14ac:dyDescent="0.55000000000000004">
      <c r="A4" s="378"/>
      <c r="B4" s="380"/>
      <c r="C4" s="267" t="s">
        <v>118</v>
      </c>
      <c r="D4" s="253" t="s">
        <v>119</v>
      </c>
      <c r="E4" s="268" t="s">
        <v>118</v>
      </c>
      <c r="F4" s="269" t="s">
        <v>119</v>
      </c>
      <c r="G4" s="268" t="s">
        <v>118</v>
      </c>
      <c r="H4" s="269" t="s">
        <v>119</v>
      </c>
      <c r="I4" s="268" t="s">
        <v>118</v>
      </c>
      <c r="J4" s="269" t="s">
        <v>119</v>
      </c>
      <c r="Q4" s="257"/>
      <c r="R4" s="257"/>
      <c r="S4" s="257"/>
      <c r="T4" s="257"/>
      <c r="U4" s="257"/>
      <c r="V4" s="257"/>
      <c r="W4" s="257"/>
    </row>
    <row r="5" spans="1:23" s="256" customFormat="1" ht="22.5" x14ac:dyDescent="0.55000000000000004">
      <c r="A5" s="1" t="s">
        <v>121</v>
      </c>
      <c r="B5" s="2" t="s">
        <v>262</v>
      </c>
      <c r="C5" s="3">
        <f>[15]ก.ย.!I5</f>
        <v>0</v>
      </c>
      <c r="D5" s="3"/>
      <c r="E5" s="4"/>
      <c r="F5" s="4"/>
      <c r="G5" s="4"/>
      <c r="H5" s="4"/>
      <c r="I5" s="3">
        <f t="shared" ref="I5:I17" si="0">C5+E5-F5+G5-H5</f>
        <v>0</v>
      </c>
      <c r="J5" s="4"/>
      <c r="Q5" s="257"/>
      <c r="R5" s="257"/>
      <c r="S5" s="257"/>
      <c r="T5" s="257"/>
      <c r="U5" s="257"/>
      <c r="V5" s="257"/>
      <c r="W5" s="257"/>
    </row>
    <row r="6" spans="1:23" s="17" customFormat="1" ht="22.5" x14ac:dyDescent="0.5">
      <c r="A6" s="5" t="s">
        <v>122</v>
      </c>
      <c r="B6" s="6" t="s">
        <v>263</v>
      </c>
      <c r="C6" s="7">
        <f>[15]ก.ย.!I6</f>
        <v>383.34000000000697</v>
      </c>
      <c r="D6" s="8"/>
      <c r="E6" s="8"/>
      <c r="F6" s="8"/>
      <c r="G6" s="8"/>
      <c r="H6" s="8"/>
      <c r="I6" s="8">
        <f t="shared" si="0"/>
        <v>383.34000000000697</v>
      </c>
      <c r="J6" s="8"/>
      <c r="K6" s="262"/>
      <c r="L6" s="262"/>
    </row>
    <row r="7" spans="1:23" s="17" customFormat="1" ht="22.5" x14ac:dyDescent="0.5">
      <c r="A7" s="5" t="s">
        <v>123</v>
      </c>
      <c r="B7" s="6" t="s">
        <v>264</v>
      </c>
      <c r="C7" s="7">
        <f>[15]ก.ย.!I7</f>
        <v>10645186.189999999</v>
      </c>
      <c r="D7" s="8"/>
      <c r="E7" s="8"/>
      <c r="F7" s="8"/>
      <c r="G7" s="8"/>
      <c r="H7" s="8"/>
      <c r="I7" s="8">
        <f t="shared" si="0"/>
        <v>10645186.189999999</v>
      </c>
      <c r="J7" s="8"/>
      <c r="K7" s="262">
        <f>I7-[16]พ.ย.!$L$844</f>
        <v>10645186.189999999</v>
      </c>
      <c r="L7" s="270"/>
    </row>
    <row r="8" spans="1:23" s="17" customFormat="1" ht="22.5" x14ac:dyDescent="0.5">
      <c r="A8" s="9" t="s">
        <v>151</v>
      </c>
      <c r="B8" s="6" t="s">
        <v>265</v>
      </c>
      <c r="C8" s="7">
        <f>[15]ก.ย.!I8</f>
        <v>2112779.2599999998</v>
      </c>
      <c r="D8" s="7"/>
      <c r="E8" s="8"/>
      <c r="F8" s="8"/>
      <c r="G8" s="8"/>
      <c r="H8" s="8"/>
      <c r="I8" s="8">
        <f t="shared" si="0"/>
        <v>2112779.2599999998</v>
      </c>
      <c r="J8" s="8"/>
      <c r="Q8" s="259"/>
      <c r="R8" s="259"/>
      <c r="S8" s="259"/>
      <c r="T8" s="259"/>
      <c r="U8" s="259"/>
      <c r="V8" s="259"/>
      <c r="W8" s="259"/>
    </row>
    <row r="9" spans="1:23" s="17" customFormat="1" ht="22.5" x14ac:dyDescent="0.5">
      <c r="A9" s="9" t="s">
        <v>152</v>
      </c>
      <c r="B9" s="10" t="s">
        <v>266</v>
      </c>
      <c r="C9" s="7">
        <f>[15]ก.ย.!I9</f>
        <v>0</v>
      </c>
      <c r="D9" s="7"/>
      <c r="E9" s="8"/>
      <c r="F9" s="8"/>
      <c r="G9" s="8"/>
      <c r="H9" s="8"/>
      <c r="I9" s="8">
        <f t="shared" si="0"/>
        <v>0</v>
      </c>
      <c r="J9" s="8"/>
      <c r="K9" s="271"/>
      <c r="L9" s="262"/>
    </row>
    <row r="10" spans="1:23" s="17" customFormat="1" ht="22.5" x14ac:dyDescent="0.5">
      <c r="A10" s="23" t="s">
        <v>329</v>
      </c>
      <c r="B10" s="10" t="s">
        <v>338</v>
      </c>
      <c r="C10" s="7">
        <f>[15]ก.ย.!I10</f>
        <v>0</v>
      </c>
      <c r="D10" s="7"/>
      <c r="E10" s="8"/>
      <c r="F10" s="8"/>
      <c r="G10" s="8"/>
      <c r="H10" s="8"/>
      <c r="I10" s="8">
        <f t="shared" si="0"/>
        <v>0</v>
      </c>
      <c r="J10" s="8"/>
      <c r="K10" s="271"/>
      <c r="L10" s="262"/>
    </row>
    <row r="11" spans="1:23" s="17" customFormat="1" ht="22.5" x14ac:dyDescent="0.5">
      <c r="A11" s="11" t="s">
        <v>267</v>
      </c>
      <c r="B11" s="10" t="s">
        <v>337</v>
      </c>
      <c r="C11" s="7">
        <f>[15]ก.ย.!I11</f>
        <v>13.950000000000292</v>
      </c>
      <c r="D11" s="7"/>
      <c r="E11" s="8"/>
      <c r="F11" s="8"/>
      <c r="G11" s="8"/>
      <c r="H11" s="8"/>
      <c r="I11" s="8">
        <f t="shared" si="0"/>
        <v>13.950000000000292</v>
      </c>
      <c r="J11" s="8"/>
      <c r="K11" s="271">
        <f>SUM(I5:I11)</f>
        <v>12758362.739999998</v>
      </c>
      <c r="L11" s="262"/>
    </row>
    <row r="12" spans="1:23" s="17" customFormat="1" ht="22.5" x14ac:dyDescent="0.5">
      <c r="A12" s="11" t="s">
        <v>268</v>
      </c>
      <c r="B12" s="10" t="s">
        <v>339</v>
      </c>
      <c r="C12" s="7">
        <f>[15]ก.ย.!I12</f>
        <v>0</v>
      </c>
      <c r="D12" s="7"/>
      <c r="E12" s="8"/>
      <c r="F12" s="8"/>
      <c r="G12" s="8"/>
      <c r="H12" s="8"/>
      <c r="I12" s="8">
        <f t="shared" si="0"/>
        <v>0</v>
      </c>
      <c r="J12" s="8"/>
      <c r="K12" s="271">
        <f>K11-[16]มิ.ย.!$L$753</f>
        <v>-336724.9000000041</v>
      </c>
      <c r="L12" s="262"/>
    </row>
    <row r="13" spans="1:23" s="17" customFormat="1" ht="22.5" x14ac:dyDescent="0.5">
      <c r="A13" s="309" t="s">
        <v>188</v>
      </c>
      <c r="B13" s="12">
        <v>113200</v>
      </c>
      <c r="C13" s="7">
        <f>[15]ก.ย.!I13</f>
        <v>51700.000000000138</v>
      </c>
      <c r="D13" s="7"/>
      <c r="E13" s="8"/>
      <c r="F13" s="8"/>
      <c r="G13" s="8"/>
      <c r="H13" s="8"/>
      <c r="I13" s="8">
        <f t="shared" si="0"/>
        <v>51700.000000000138</v>
      </c>
      <c r="J13" s="8"/>
      <c r="K13" s="271"/>
    </row>
    <row r="14" spans="1:23" s="17" customFormat="1" ht="22.5" x14ac:dyDescent="0.5">
      <c r="A14" s="9" t="s">
        <v>173</v>
      </c>
      <c r="B14" s="6" t="s">
        <v>269</v>
      </c>
      <c r="C14" s="7">
        <f>[15]ก.ย.!I14</f>
        <v>0</v>
      </c>
      <c r="D14" s="7"/>
      <c r="E14" s="8"/>
      <c r="F14" s="8"/>
      <c r="G14" s="8"/>
      <c r="H14" s="8"/>
      <c r="I14" s="8">
        <f t="shared" si="0"/>
        <v>0</v>
      </c>
      <c r="J14" s="8"/>
    </row>
    <row r="15" spans="1:23" s="17" customFormat="1" ht="22.5" x14ac:dyDescent="0.5">
      <c r="A15" s="5" t="s">
        <v>120</v>
      </c>
      <c r="B15" s="6" t="s">
        <v>270</v>
      </c>
      <c r="C15" s="7">
        <f>[15]ก.ย.!I15</f>
        <v>2199.25</v>
      </c>
      <c r="D15" s="7"/>
      <c r="E15" s="8"/>
      <c r="F15" s="8"/>
      <c r="G15" s="8"/>
      <c r="H15" s="8"/>
      <c r="I15" s="8">
        <f t="shared" si="0"/>
        <v>2199.25</v>
      </c>
      <c r="J15" s="8"/>
    </row>
    <row r="16" spans="1:23" s="17" customFormat="1" ht="22.5" x14ac:dyDescent="0.5">
      <c r="A16" s="5" t="s">
        <v>124</v>
      </c>
      <c r="B16" s="6" t="s">
        <v>293</v>
      </c>
      <c r="C16" s="7">
        <f>[15]ก.ย.!I16</f>
        <v>0</v>
      </c>
      <c r="D16" s="7"/>
      <c r="E16" s="8"/>
      <c r="F16" s="8"/>
      <c r="G16" s="8"/>
      <c r="H16" s="8"/>
      <c r="I16" s="8">
        <f>C16+E16-F16+G16-H16</f>
        <v>0</v>
      </c>
      <c r="J16" s="8"/>
    </row>
    <row r="17" spans="1:12" s="17" customFormat="1" ht="22.5" x14ac:dyDescent="0.5">
      <c r="A17" s="5" t="s">
        <v>191</v>
      </c>
      <c r="B17" s="6" t="s">
        <v>271</v>
      </c>
      <c r="C17" s="7">
        <f>[15]ก.ย.!I17</f>
        <v>26877.01</v>
      </c>
      <c r="D17" s="7"/>
      <c r="E17" s="8"/>
      <c r="F17" s="8"/>
      <c r="G17" s="8"/>
      <c r="H17" s="8"/>
      <c r="I17" s="8">
        <f t="shared" si="0"/>
        <v>26877.01</v>
      </c>
      <c r="J17" s="8"/>
    </row>
    <row r="18" spans="1:12" s="17" customFormat="1" ht="22.5" x14ac:dyDescent="0.5">
      <c r="A18" s="5" t="s">
        <v>45</v>
      </c>
      <c r="B18" s="6" t="s">
        <v>272</v>
      </c>
      <c r="C18" s="7">
        <f>[15]ก.ย.!I18</f>
        <v>0</v>
      </c>
      <c r="D18" s="7"/>
      <c r="E18" s="8"/>
      <c r="F18" s="8"/>
      <c r="G18" s="8"/>
      <c r="H18" s="8"/>
      <c r="I18" s="8">
        <f>C18+F18-G18+H18</f>
        <v>0</v>
      </c>
      <c r="J18" s="8"/>
    </row>
    <row r="19" spans="1:12" s="17" customFormat="1" ht="22.5" x14ac:dyDescent="0.5">
      <c r="A19" s="5" t="s">
        <v>163</v>
      </c>
      <c r="B19" s="6" t="s">
        <v>272</v>
      </c>
      <c r="C19" s="7">
        <f>[15]ก.ย.!I19</f>
        <v>0</v>
      </c>
      <c r="D19" s="7"/>
      <c r="E19" s="8"/>
      <c r="F19" s="8"/>
      <c r="G19" s="8"/>
      <c r="H19" s="8"/>
      <c r="I19" s="7">
        <f>C19+E19-F19+G19-H19</f>
        <v>0</v>
      </c>
      <c r="J19" s="8"/>
    </row>
    <row r="20" spans="1:12" s="17" customFormat="1" ht="22.5" x14ac:dyDescent="0.5">
      <c r="A20" s="5" t="s">
        <v>153</v>
      </c>
      <c r="B20" s="6" t="s">
        <v>273</v>
      </c>
      <c r="C20" s="7">
        <f>[15]ก.ย.!I20</f>
        <v>1057501.3600000001</v>
      </c>
      <c r="D20" s="7"/>
      <c r="E20" s="8"/>
      <c r="F20" s="8"/>
      <c r="G20" s="8"/>
      <c r="H20" s="8"/>
      <c r="I20" s="7">
        <f t="shared" ref="I20:I21" si="1">C20+E20-F20+G20-H20</f>
        <v>1057501.3600000001</v>
      </c>
      <c r="J20" s="8"/>
    </row>
    <row r="21" spans="1:12" s="17" customFormat="1" ht="22.5" x14ac:dyDescent="0.5">
      <c r="A21" s="9" t="s">
        <v>335</v>
      </c>
      <c r="B21" s="13" t="s">
        <v>340</v>
      </c>
      <c r="C21" s="7">
        <f>[15]ก.ย.!I21</f>
        <v>51700</v>
      </c>
      <c r="D21" s="7"/>
      <c r="E21" s="8"/>
      <c r="F21" s="8"/>
      <c r="G21" s="8"/>
      <c r="H21" s="8"/>
      <c r="I21" s="7">
        <f t="shared" si="1"/>
        <v>51700</v>
      </c>
      <c r="J21" s="8"/>
      <c r="K21" s="262">
        <f>SUM(J20:J21)</f>
        <v>0</v>
      </c>
    </row>
    <row r="22" spans="1:12" s="17" customFormat="1" ht="22.5" x14ac:dyDescent="0.5">
      <c r="A22" s="9" t="s">
        <v>288</v>
      </c>
      <c r="B22" s="13" t="s">
        <v>172</v>
      </c>
      <c r="C22" s="16"/>
      <c r="D22" s="7">
        <f>[15]ก.ย.!J22</f>
        <v>191095</v>
      </c>
      <c r="E22" s="8"/>
      <c r="F22" s="8"/>
      <c r="G22" s="8"/>
      <c r="H22" s="8"/>
      <c r="I22" s="8"/>
      <c r="J22" s="8">
        <f t="shared" ref="J22:J29" si="2">D22-E22+F22-G22+H22</f>
        <v>191095</v>
      </c>
      <c r="K22" s="262"/>
    </row>
    <row r="23" spans="1:12" s="17" customFormat="1" ht="22.5" x14ac:dyDescent="0.5">
      <c r="A23" s="9" t="s">
        <v>353</v>
      </c>
      <c r="B23" s="13" t="s">
        <v>274</v>
      </c>
      <c r="C23" s="16"/>
      <c r="D23" s="7">
        <f>[15]ก.ย.!J23</f>
        <v>-9.4587448984384537E-11</v>
      </c>
      <c r="E23" s="8"/>
      <c r="F23" s="8"/>
      <c r="G23" s="8"/>
      <c r="H23" s="8"/>
      <c r="I23" s="306"/>
      <c r="J23" s="8">
        <f t="shared" si="2"/>
        <v>-9.4587448984384537E-11</v>
      </c>
    </row>
    <row r="24" spans="1:12" s="17" customFormat="1" ht="22.5" x14ac:dyDescent="0.5">
      <c r="A24" s="9" t="s">
        <v>294</v>
      </c>
      <c r="B24" s="13" t="s">
        <v>292</v>
      </c>
      <c r="D24" s="7">
        <f>[15]ก.ย.!J24</f>
        <v>0</v>
      </c>
      <c r="E24" s="8"/>
      <c r="F24" s="8"/>
      <c r="G24" s="8"/>
      <c r="H24" s="8"/>
      <c r="I24" s="18"/>
      <c r="J24" s="8">
        <f t="shared" si="2"/>
        <v>0</v>
      </c>
    </row>
    <row r="25" spans="1:12" s="17" customFormat="1" ht="22.5" x14ac:dyDescent="0.5">
      <c r="A25" s="5" t="s">
        <v>129</v>
      </c>
      <c r="B25" s="13" t="s">
        <v>289</v>
      </c>
      <c r="C25" s="14"/>
      <c r="D25" s="7">
        <f>[15]ก.ย.!J25</f>
        <v>455147.56999999995</v>
      </c>
      <c r="E25" s="8"/>
      <c r="F25" s="8"/>
      <c r="G25" s="8"/>
      <c r="H25" s="19"/>
      <c r="I25" s="8"/>
      <c r="J25" s="8">
        <f t="shared" si="2"/>
        <v>455147.56999999995</v>
      </c>
      <c r="K25" s="270"/>
      <c r="L25" s="262"/>
    </row>
    <row r="26" spans="1:12" s="17" customFormat="1" ht="22.5" x14ac:dyDescent="0.5">
      <c r="A26" s="9" t="s">
        <v>127</v>
      </c>
      <c r="B26" s="6" t="s">
        <v>275</v>
      </c>
      <c r="C26" s="14"/>
      <c r="D26" s="7">
        <f>[15]ก.ย.!J26</f>
        <v>4071013.83</v>
      </c>
      <c r="E26" s="8"/>
      <c r="F26" s="8"/>
      <c r="G26" s="8"/>
      <c r="H26" s="8">
        <f>[17]ปิดบัญชี!$E$56</f>
        <v>1773532.0275000008</v>
      </c>
      <c r="I26" s="8"/>
      <c r="J26" s="8">
        <f t="shared" si="2"/>
        <v>5844545.8575000009</v>
      </c>
      <c r="K26" s="262">
        <f>I26-[14]พ.ย.!$U$146</f>
        <v>-14008</v>
      </c>
    </row>
    <row r="27" spans="1:12" s="17" customFormat="1" ht="22.5" x14ac:dyDescent="0.5">
      <c r="A27" s="5" t="s">
        <v>154</v>
      </c>
      <c r="B27" s="13" t="s">
        <v>276</v>
      </c>
      <c r="C27" s="14"/>
      <c r="D27" s="7">
        <f>[15]ก.ย.!J27</f>
        <v>6814674.5899999999</v>
      </c>
      <c r="E27" s="8"/>
      <c r="F27" s="8"/>
      <c r="G27" s="8"/>
      <c r="H27" s="8">
        <f>[17]ปิดบัญชี!$E$57</f>
        <v>591177.34250000026</v>
      </c>
      <c r="I27" s="8"/>
      <c r="J27" s="8">
        <f t="shared" si="2"/>
        <v>7405851.9325000001</v>
      </c>
      <c r="K27" s="272"/>
    </row>
    <row r="28" spans="1:12" s="17" customFormat="1" ht="22.5" x14ac:dyDescent="0.5">
      <c r="A28" s="307" t="s">
        <v>336</v>
      </c>
      <c r="B28" s="6" t="s">
        <v>341</v>
      </c>
      <c r="C28" s="14"/>
      <c r="D28" s="7">
        <f>[15]ก.ย.!J28</f>
        <v>51700</v>
      </c>
      <c r="E28" s="8"/>
      <c r="F28" s="8"/>
      <c r="G28" s="8"/>
      <c r="H28" s="8"/>
      <c r="I28" s="8"/>
      <c r="J28" s="8">
        <f t="shared" si="2"/>
        <v>51700</v>
      </c>
      <c r="K28" s="273">
        <f>I28-[14]พ.ย.!$U$154</f>
        <v>-437440</v>
      </c>
    </row>
    <row r="29" spans="1:12" s="17" customFormat="1" ht="22.5" x14ac:dyDescent="0.5">
      <c r="A29" s="5" t="s">
        <v>72</v>
      </c>
      <c r="B29" s="13" t="s">
        <v>128</v>
      </c>
      <c r="C29" s="14"/>
      <c r="D29" s="7">
        <f>[15]ก.ย.!J29</f>
        <v>27414025.569999997</v>
      </c>
      <c r="E29" s="8"/>
      <c r="F29" s="8"/>
      <c r="G29" s="8">
        <f>[17]ปิดบัญชี!$D$60</f>
        <v>27414025.57</v>
      </c>
      <c r="H29" s="8"/>
      <c r="I29" s="8"/>
      <c r="J29" s="8">
        <f t="shared" si="2"/>
        <v>-3.7252902984619141E-9</v>
      </c>
      <c r="K29" s="271">
        <f>I29-[14]พ.ย.!$U$162</f>
        <v>-894583</v>
      </c>
    </row>
    <row r="30" spans="1:12" s="17" customFormat="1" ht="22.5" x14ac:dyDescent="0.5">
      <c r="A30" s="5" t="s">
        <v>54</v>
      </c>
      <c r="B30" s="6" t="s">
        <v>277</v>
      </c>
      <c r="C30" s="14">
        <f>[15]ก.ย.!I30</f>
        <v>523928.21</v>
      </c>
      <c r="D30" s="8"/>
      <c r="E30" s="8"/>
      <c r="F30" s="8"/>
      <c r="G30" s="8"/>
      <c r="H30" s="8">
        <f>[17]ปิดบัญชี!$E$34</f>
        <v>523928.20999999996</v>
      </c>
      <c r="I30" s="8">
        <f t="shared" ref="I30:I53" si="3">C30+E30-F30+G30-H30</f>
        <v>0</v>
      </c>
      <c r="J30" s="8"/>
      <c r="K30" s="273">
        <f>I30-[14]พ.ย.!$U$170</f>
        <v>-9000</v>
      </c>
      <c r="L30" s="273"/>
    </row>
    <row r="31" spans="1:12" s="17" customFormat="1" ht="22.5" x14ac:dyDescent="0.5">
      <c r="A31" s="5" t="s">
        <v>54</v>
      </c>
      <c r="B31" s="6" t="s">
        <v>277</v>
      </c>
      <c r="C31" s="14">
        <f>[15]ก.ย.!I31</f>
        <v>6531600</v>
      </c>
      <c r="D31" s="8"/>
      <c r="E31" s="8"/>
      <c r="F31" s="8"/>
      <c r="G31" s="8"/>
      <c r="H31" s="8">
        <f>[17]ปิดบัญชี!$E$35</f>
        <v>6531600</v>
      </c>
      <c r="I31" s="8">
        <f t="shared" si="3"/>
        <v>0</v>
      </c>
      <c r="J31" s="8"/>
      <c r="K31" s="273"/>
      <c r="L31" s="273"/>
    </row>
    <row r="32" spans="1:12" s="17" customFormat="1" ht="22.5" x14ac:dyDescent="0.5">
      <c r="A32" s="5" t="s">
        <v>67</v>
      </c>
      <c r="B32" s="6" t="s">
        <v>278</v>
      </c>
      <c r="C32" s="14">
        <f>[15]ก.ย.!I32</f>
        <v>2508720</v>
      </c>
      <c r="D32" s="8"/>
      <c r="E32" s="8"/>
      <c r="F32" s="8"/>
      <c r="G32" s="8"/>
      <c r="H32" s="8">
        <f>[17]ปิดบัญชี!$E$36</f>
        <v>2508720</v>
      </c>
      <c r="I32" s="8">
        <f t="shared" si="3"/>
        <v>0</v>
      </c>
      <c r="J32" s="8"/>
      <c r="K32" s="271">
        <f>I32-[14]พ.ย.!$U$176</f>
        <v>-152843.25</v>
      </c>
    </row>
    <row r="33" spans="1:23" s="17" customFormat="1" ht="22.5" x14ac:dyDescent="0.5">
      <c r="A33" s="5" t="s">
        <v>68</v>
      </c>
      <c r="B33" s="13" t="s">
        <v>279</v>
      </c>
      <c r="C33" s="14">
        <f>[15]ก.ย.!I33</f>
        <v>5522880</v>
      </c>
      <c r="D33" s="8"/>
      <c r="E33" s="8"/>
      <c r="F33" s="8"/>
      <c r="G33" s="8"/>
      <c r="H33" s="8">
        <f>[17]ปิดบัญชี!$E$37</f>
        <v>5522880</v>
      </c>
      <c r="I33" s="8">
        <f t="shared" si="3"/>
        <v>0</v>
      </c>
      <c r="J33" s="8"/>
      <c r="K33" s="273"/>
      <c r="L33" s="262"/>
    </row>
    <row r="34" spans="1:23" s="17" customFormat="1" ht="22.5" x14ac:dyDescent="0.5">
      <c r="A34" s="5" t="s">
        <v>68</v>
      </c>
      <c r="B34" s="13" t="s">
        <v>279</v>
      </c>
      <c r="C34" s="14">
        <f>[15]ก.ย.!I34</f>
        <v>297474.5</v>
      </c>
      <c r="D34" s="8"/>
      <c r="E34" s="8"/>
      <c r="F34" s="274"/>
      <c r="G34" s="8"/>
      <c r="H34" s="8">
        <f>[17]ปิดบัญชี!$E$53</f>
        <v>297474.5</v>
      </c>
      <c r="I34" s="8">
        <f t="shared" si="3"/>
        <v>0</v>
      </c>
      <c r="J34" s="8"/>
      <c r="K34" s="273">
        <f>I34-[14]พ.ย.!$U$195</f>
        <v>-11095</v>
      </c>
    </row>
    <row r="35" spans="1:23" s="17" customFormat="1" ht="22.5" x14ac:dyDescent="0.5">
      <c r="A35" s="9" t="s">
        <v>40</v>
      </c>
      <c r="B35" s="13" t="s">
        <v>280</v>
      </c>
      <c r="C35" s="14">
        <f>[15]ก.ย.!I35</f>
        <v>124912</v>
      </c>
      <c r="D35" s="8"/>
      <c r="E35" s="8"/>
      <c r="F35" s="274"/>
      <c r="G35" s="8"/>
      <c r="H35" s="8">
        <f>[17]ปิดบัญชี!$E$38</f>
        <v>124912</v>
      </c>
      <c r="I35" s="8">
        <f t="shared" si="3"/>
        <v>0</v>
      </c>
      <c r="J35" s="8"/>
    </row>
    <row r="36" spans="1:23" s="17" customFormat="1" ht="22.5" x14ac:dyDescent="0.5">
      <c r="A36" s="9" t="s">
        <v>40</v>
      </c>
      <c r="B36" s="13" t="s">
        <v>280</v>
      </c>
      <c r="C36" s="14">
        <f>[15]ก.ย.!I36</f>
        <v>0</v>
      </c>
      <c r="D36" s="8"/>
      <c r="E36" s="8"/>
      <c r="F36" s="8"/>
      <c r="G36" s="8"/>
      <c r="H36" s="8">
        <v>0</v>
      </c>
      <c r="I36" s="8">
        <f t="shared" si="3"/>
        <v>0</v>
      </c>
      <c r="J36" s="8"/>
      <c r="K36" s="262">
        <f>I36-[14]พ.ย.!$U$202</f>
        <v>-59337.08</v>
      </c>
    </row>
    <row r="37" spans="1:23" s="17" customFormat="1" ht="22.5" x14ac:dyDescent="0.5">
      <c r="A37" s="5" t="s">
        <v>47</v>
      </c>
      <c r="B37" s="6" t="s">
        <v>281</v>
      </c>
      <c r="C37" s="14">
        <f>[15]ก.ย.!I37</f>
        <v>2309473.6799999997</v>
      </c>
      <c r="D37" s="8"/>
      <c r="E37" s="8"/>
      <c r="F37" s="8"/>
      <c r="G37" s="8"/>
      <c r="H37" s="8">
        <f>[17]ปิดบัญชี!$E$39</f>
        <v>2309473.6799999997</v>
      </c>
      <c r="I37" s="8">
        <f>C37+E37-F37+G37-H37</f>
        <v>0</v>
      </c>
      <c r="J37" s="8"/>
      <c r="K37" s="262"/>
    </row>
    <row r="38" spans="1:23" s="17" customFormat="1" ht="22.5" x14ac:dyDescent="0.5">
      <c r="A38" s="5" t="s">
        <v>47</v>
      </c>
      <c r="B38" s="6" t="s">
        <v>281</v>
      </c>
      <c r="C38" s="14">
        <f>[15]ก.ย.!I38</f>
        <v>1285980</v>
      </c>
      <c r="D38" s="8"/>
      <c r="E38" s="8"/>
      <c r="F38" s="8"/>
      <c r="G38" s="8"/>
      <c r="H38" s="8">
        <f>[17]ปิดบัญชี!$E$40</f>
        <v>1285980</v>
      </c>
      <c r="I38" s="8">
        <f t="shared" si="3"/>
        <v>0</v>
      </c>
      <c r="J38" s="8"/>
      <c r="K38" s="262">
        <f>I38-[14]พ.ย.!$U$222</f>
        <v>0</v>
      </c>
    </row>
    <row r="39" spans="1:23" s="17" customFormat="1" ht="22.5" x14ac:dyDescent="0.5">
      <c r="A39" s="5" t="s">
        <v>39</v>
      </c>
      <c r="B39" s="6" t="s">
        <v>282</v>
      </c>
      <c r="C39" s="14">
        <f>[15]ก.ย.!I39</f>
        <v>938068.45</v>
      </c>
      <c r="D39" s="8"/>
      <c r="E39" s="8"/>
      <c r="F39" s="8"/>
      <c r="G39" s="8"/>
      <c r="H39" s="8">
        <f>[17]ปิดบัญชี!$E$41</f>
        <v>938068.45</v>
      </c>
      <c r="I39" s="8">
        <f t="shared" si="3"/>
        <v>0</v>
      </c>
      <c r="J39" s="8"/>
    </row>
    <row r="40" spans="1:23" s="17" customFormat="1" ht="22.5" x14ac:dyDescent="0.5">
      <c r="A40" s="5" t="s">
        <v>39</v>
      </c>
      <c r="B40" s="6" t="s">
        <v>282</v>
      </c>
      <c r="C40" s="14">
        <f>[15]ก.ย.!I40</f>
        <v>182558.88000000003</v>
      </c>
      <c r="D40" s="8"/>
      <c r="E40" s="8"/>
      <c r="F40" s="8"/>
      <c r="G40" s="8"/>
      <c r="H40" s="8">
        <f>[17]ปิดบัญชี!$E$42</f>
        <v>182558.88000000003</v>
      </c>
      <c r="I40" s="8">
        <f t="shared" si="3"/>
        <v>0</v>
      </c>
      <c r="J40" s="8"/>
      <c r="K40" s="262">
        <f>I40-[14]พ.ย.!$U$236</f>
        <v>0</v>
      </c>
    </row>
    <row r="41" spans="1:23" s="17" customFormat="1" ht="22.5" x14ac:dyDescent="0.5">
      <c r="A41" s="5" t="s">
        <v>69</v>
      </c>
      <c r="B41" s="6" t="s">
        <v>283</v>
      </c>
      <c r="C41" s="14">
        <f>[15]ก.ย.!I41</f>
        <v>395444.84</v>
      </c>
      <c r="D41" s="8"/>
      <c r="E41" s="8"/>
      <c r="F41" s="8"/>
      <c r="G41" s="8"/>
      <c r="H41" s="8">
        <f>[17]ปิดบัญชี!$E$43</f>
        <v>395444.84</v>
      </c>
      <c r="I41" s="8">
        <f t="shared" si="3"/>
        <v>0</v>
      </c>
      <c r="J41" s="8"/>
    </row>
    <row r="42" spans="1:23" s="81" customFormat="1" x14ac:dyDescent="0.6">
      <c r="A42" s="20" t="s">
        <v>69</v>
      </c>
      <c r="B42" s="13" t="s">
        <v>283</v>
      </c>
      <c r="C42" s="14">
        <f>[15]ก.ย.!I42</f>
        <v>0</v>
      </c>
      <c r="D42" s="8"/>
      <c r="E42" s="22"/>
      <c r="F42" s="22"/>
      <c r="G42" s="22"/>
      <c r="H42" s="8">
        <v>0</v>
      </c>
      <c r="I42" s="8">
        <f t="shared" si="3"/>
        <v>0</v>
      </c>
      <c r="J42" s="22"/>
      <c r="K42" s="275">
        <f>I42-[14]พ.ย.!$U$240</f>
        <v>0</v>
      </c>
      <c r="Q42" s="265"/>
      <c r="R42" s="265"/>
      <c r="S42" s="265"/>
      <c r="T42" s="265"/>
      <c r="U42" s="265"/>
      <c r="V42" s="265"/>
      <c r="W42" s="265"/>
    </row>
    <row r="43" spans="1:23" s="17" customFormat="1" ht="22.5" x14ac:dyDescent="0.5">
      <c r="A43" s="20" t="s">
        <v>125</v>
      </c>
      <c r="B43" s="21">
        <v>5410000</v>
      </c>
      <c r="C43" s="14">
        <f>[15]ก.ย.!I43</f>
        <v>75470</v>
      </c>
      <c r="D43" s="8"/>
      <c r="E43" s="8"/>
      <c r="F43" s="8"/>
      <c r="G43" s="8"/>
      <c r="H43" s="8">
        <f>[17]ปิดบัญชี!$E$45</f>
        <v>75470</v>
      </c>
      <c r="I43" s="8">
        <f t="shared" si="3"/>
        <v>0</v>
      </c>
      <c r="J43" s="8"/>
    </row>
    <row r="44" spans="1:23" s="17" customFormat="1" ht="22.5" x14ac:dyDescent="0.5">
      <c r="A44" s="20" t="s">
        <v>125</v>
      </c>
      <c r="B44" s="21">
        <v>5410000</v>
      </c>
      <c r="C44" s="14">
        <f>[15]ก.ย.!I44</f>
        <v>254700</v>
      </c>
      <c r="D44" s="8"/>
      <c r="E44" s="8"/>
      <c r="F44" s="8"/>
      <c r="G44" s="8"/>
      <c r="H44" s="8">
        <f>[17]ปิดบัญชี!$E$46</f>
        <v>254700</v>
      </c>
      <c r="I44" s="8">
        <f t="shared" si="3"/>
        <v>0</v>
      </c>
      <c r="J44" s="8"/>
      <c r="K44" s="262">
        <f>I44-[14]พ.ย.!$T$247</f>
        <v>0</v>
      </c>
    </row>
    <row r="45" spans="1:23" s="17" customFormat="1" ht="22.5" x14ac:dyDescent="0.5">
      <c r="A45" s="20" t="s">
        <v>126</v>
      </c>
      <c r="B45" s="21">
        <v>5420000</v>
      </c>
      <c r="C45" s="14">
        <f>[15]ก.ย.!I45</f>
        <v>7000</v>
      </c>
      <c r="D45" s="8"/>
      <c r="E45" s="8"/>
      <c r="F45" s="8"/>
      <c r="G45" s="8"/>
      <c r="H45" s="8">
        <f>[17]ปิดบัญชี!$E$47</f>
        <v>7000</v>
      </c>
      <c r="I45" s="8">
        <f t="shared" si="3"/>
        <v>0</v>
      </c>
      <c r="J45" s="8"/>
      <c r="K45" s="262"/>
    </row>
    <row r="46" spans="1:23" s="17" customFormat="1" ht="22.5" x14ac:dyDescent="0.5">
      <c r="A46" s="20" t="s">
        <v>126</v>
      </c>
      <c r="B46" s="21">
        <v>5420000</v>
      </c>
      <c r="C46" s="14">
        <f>[15]ก.ย.!I46</f>
        <v>1559000</v>
      </c>
      <c r="D46" s="8"/>
      <c r="E46" s="8"/>
      <c r="F46" s="8"/>
      <c r="G46" s="8"/>
      <c r="H46" s="8">
        <f>[17]ปิดบัญชี!$E$48</f>
        <v>1559000</v>
      </c>
      <c r="I46" s="8">
        <f t="shared" si="3"/>
        <v>0</v>
      </c>
      <c r="J46" s="8"/>
      <c r="K46" s="262"/>
    </row>
    <row r="47" spans="1:23" s="17" customFormat="1" ht="22.5" x14ac:dyDescent="0.5">
      <c r="A47" s="20" t="s">
        <v>79</v>
      </c>
      <c r="B47" s="21">
        <v>5510000</v>
      </c>
      <c r="C47" s="14">
        <f>[15]ก.ย.!I47</f>
        <v>0</v>
      </c>
      <c r="D47" s="8"/>
      <c r="E47" s="8"/>
      <c r="F47" s="8"/>
      <c r="G47" s="8"/>
      <c r="H47" s="8">
        <v>0</v>
      </c>
      <c r="I47" s="8">
        <f t="shared" si="3"/>
        <v>0</v>
      </c>
      <c r="J47" s="8"/>
      <c r="K47" s="262"/>
    </row>
    <row r="48" spans="1:23" s="17" customFormat="1" ht="22.5" x14ac:dyDescent="0.5">
      <c r="A48" s="23" t="s">
        <v>79</v>
      </c>
      <c r="B48" s="24">
        <v>5510000</v>
      </c>
      <c r="C48" s="14">
        <f>[15]ก.ย.!I48</f>
        <v>0</v>
      </c>
      <c r="D48" s="8"/>
      <c r="E48" s="8"/>
      <c r="F48" s="8"/>
      <c r="G48" s="8"/>
      <c r="H48" s="8">
        <v>0</v>
      </c>
      <c r="I48" s="8">
        <f t="shared" si="3"/>
        <v>0</v>
      </c>
      <c r="J48" s="8"/>
      <c r="K48" s="262"/>
    </row>
    <row r="49" spans="1:11" s="17" customFormat="1" ht="22.5" x14ac:dyDescent="0.5">
      <c r="A49" s="25" t="s">
        <v>80</v>
      </c>
      <c r="B49" s="10">
        <v>5610000</v>
      </c>
      <c r="C49" s="14">
        <f>[15]ก.ย.!I49</f>
        <v>20000</v>
      </c>
      <c r="D49" s="8"/>
      <c r="E49" s="8"/>
      <c r="F49" s="8"/>
      <c r="G49" s="8"/>
      <c r="H49" s="8">
        <f>[17]ปิดบัญชี!$E$51</f>
        <v>20000</v>
      </c>
      <c r="I49" s="8">
        <f>C49+E49-F49+G49-H49</f>
        <v>0</v>
      </c>
      <c r="J49" s="8"/>
      <c r="K49" s="262"/>
    </row>
    <row r="50" spans="1:11" s="17" customFormat="1" ht="22.5" x14ac:dyDescent="0.5">
      <c r="A50" s="25" t="s">
        <v>80</v>
      </c>
      <c r="B50" s="10">
        <v>5610000</v>
      </c>
      <c r="C50" s="14">
        <f>[15]ก.ย.!I50</f>
        <v>338410.64</v>
      </c>
      <c r="D50" s="8"/>
      <c r="E50" s="8"/>
      <c r="F50" s="8"/>
      <c r="G50" s="8"/>
      <c r="H50" s="8">
        <f>[17]ปิดบัญชี!$E$52</f>
        <v>338410.64</v>
      </c>
      <c r="I50" s="8">
        <f>C50+E50-F50+G50-H50</f>
        <v>0</v>
      </c>
      <c r="J50" s="8"/>
      <c r="K50" s="262"/>
    </row>
    <row r="51" spans="1:11" s="17" customFormat="1" ht="22.5" x14ac:dyDescent="0.5">
      <c r="A51" s="23" t="s">
        <v>126</v>
      </c>
      <c r="B51" s="16" t="s">
        <v>354</v>
      </c>
      <c r="C51" s="14">
        <f>[15]ก.ย.!I51</f>
        <v>2081695</v>
      </c>
      <c r="D51" s="28"/>
      <c r="E51" s="8"/>
      <c r="F51" s="8"/>
      <c r="G51" s="8"/>
      <c r="H51" s="8">
        <f>[17]ปิดบัญชี!$E$55</f>
        <v>2081695</v>
      </c>
      <c r="I51" s="8">
        <f t="shared" si="3"/>
        <v>0</v>
      </c>
      <c r="J51" s="8"/>
      <c r="K51" s="17" t="s">
        <v>330</v>
      </c>
    </row>
    <row r="52" spans="1:11" s="17" customFormat="1" ht="22.5" x14ac:dyDescent="0.5">
      <c r="A52" s="29" t="s">
        <v>47</v>
      </c>
      <c r="B52" s="10" t="s">
        <v>354</v>
      </c>
      <c r="C52" s="14">
        <f>[15]ก.ย.!I52</f>
        <v>92000</v>
      </c>
      <c r="D52" s="28"/>
      <c r="E52" s="8"/>
      <c r="F52" s="8"/>
      <c r="G52" s="8"/>
      <c r="H52" s="8">
        <f>[17]ปิดบัญชี!$E$54</f>
        <v>92000</v>
      </c>
      <c r="I52" s="8">
        <f t="shared" si="3"/>
        <v>0</v>
      </c>
      <c r="J52" s="8"/>
    </row>
    <row r="53" spans="1:11" s="17" customFormat="1" ht="22.5" x14ac:dyDescent="0.5">
      <c r="A53" s="26"/>
      <c r="B53" s="24"/>
      <c r="C53" s="14"/>
      <c r="D53" s="27"/>
      <c r="E53" s="8"/>
      <c r="F53" s="8"/>
      <c r="G53" s="8"/>
      <c r="H53" s="8"/>
      <c r="I53" s="8">
        <f t="shared" si="3"/>
        <v>0</v>
      </c>
      <c r="J53" s="8"/>
      <c r="K53" s="262">
        <f>SUM(I51:I55)</f>
        <v>0</v>
      </c>
    </row>
    <row r="54" spans="1:11" s="17" customFormat="1" ht="22.5" x14ac:dyDescent="0.5">
      <c r="A54" s="23"/>
      <c r="B54" s="16"/>
      <c r="C54" s="14"/>
      <c r="D54" s="28"/>
      <c r="E54" s="27"/>
      <c r="F54" s="27"/>
      <c r="G54" s="27"/>
      <c r="H54" s="27"/>
      <c r="I54" s="27">
        <f>C54</f>
        <v>0</v>
      </c>
      <c r="J54" s="27"/>
      <c r="K54" s="262">
        <f>K53-[18]พ.ย.!$R$128</f>
        <v>-1134504.25</v>
      </c>
    </row>
    <row r="55" spans="1:11" s="17" customFormat="1" ht="22.5" x14ac:dyDescent="0.5">
      <c r="A55" s="29"/>
      <c r="B55" s="10"/>
      <c r="C55" s="14"/>
      <c r="D55" s="28"/>
      <c r="E55" s="27"/>
      <c r="F55" s="27"/>
      <c r="G55" s="27"/>
      <c r="H55" s="27"/>
      <c r="I55" s="27"/>
      <c r="J55" s="27">
        <f>D55</f>
        <v>0</v>
      </c>
    </row>
    <row r="56" spans="1:11" s="17" customFormat="1" ht="22.5" x14ac:dyDescent="0.5">
      <c r="A56" s="276"/>
      <c r="B56" s="10"/>
      <c r="C56" s="14"/>
      <c r="D56" s="28"/>
      <c r="E56" s="27"/>
      <c r="F56" s="27"/>
      <c r="G56" s="27"/>
      <c r="H56" s="27"/>
      <c r="I56" s="27">
        <f>C56</f>
        <v>0</v>
      </c>
      <c r="J56" s="27"/>
    </row>
    <row r="57" spans="1:11" s="17" customFormat="1" ht="22.5" x14ac:dyDescent="0.5">
      <c r="A57" s="276"/>
      <c r="B57" s="10"/>
      <c r="C57" s="14"/>
      <c r="D57" s="28"/>
      <c r="E57" s="27"/>
      <c r="F57" s="27"/>
      <c r="G57" s="27"/>
      <c r="H57" s="27"/>
      <c r="I57" s="27"/>
      <c r="J57" s="27"/>
    </row>
    <row r="58" spans="1:11" s="17" customFormat="1" ht="22.5" x14ac:dyDescent="0.5">
      <c r="A58" s="276"/>
      <c r="B58" s="10"/>
      <c r="C58" s="14"/>
      <c r="D58" s="28"/>
      <c r="E58" s="27"/>
      <c r="F58" s="27"/>
      <c r="G58" s="27"/>
      <c r="H58" s="27"/>
      <c r="I58" s="27"/>
      <c r="J58" s="27"/>
    </row>
    <row r="59" spans="1:11" s="17" customFormat="1" ht="22.5" x14ac:dyDescent="0.5">
      <c r="A59" s="30"/>
      <c r="B59" s="10"/>
      <c r="C59" s="14"/>
      <c r="D59" s="28"/>
      <c r="E59" s="27"/>
      <c r="F59" s="27"/>
      <c r="G59" s="27"/>
      <c r="H59" s="27"/>
      <c r="I59" s="27"/>
      <c r="J59" s="27"/>
    </row>
    <row r="60" spans="1:11" s="17" customFormat="1" ht="22.5" x14ac:dyDescent="0.55000000000000004">
      <c r="A60" s="277"/>
      <c r="B60" s="16"/>
      <c r="C60" s="8"/>
      <c r="D60" s="15"/>
      <c r="E60" s="8"/>
      <c r="F60" s="8"/>
      <c r="G60" s="8"/>
      <c r="H60" s="8"/>
      <c r="I60" s="8"/>
      <c r="J60" s="8"/>
    </row>
    <row r="61" spans="1:11" s="17" customFormat="1" ht="22.5" x14ac:dyDescent="0.55000000000000004">
      <c r="A61" s="37"/>
      <c r="B61" s="278"/>
      <c r="C61" s="279"/>
      <c r="D61" s="260"/>
      <c r="E61" s="7"/>
      <c r="F61" s="7"/>
      <c r="G61" s="7"/>
      <c r="H61" s="7"/>
      <c r="I61" s="8"/>
      <c r="J61" s="7"/>
    </row>
    <row r="62" spans="1:11" s="17" customFormat="1" ht="22.5" x14ac:dyDescent="0.55000000000000004">
      <c r="A62" s="38"/>
      <c r="B62" s="31"/>
      <c r="C62" s="280"/>
      <c r="D62" s="33"/>
      <c r="E62" s="32"/>
      <c r="F62" s="32"/>
      <c r="G62" s="32"/>
      <c r="H62" s="32"/>
      <c r="I62" s="32"/>
      <c r="J62" s="32"/>
    </row>
    <row r="63" spans="1:11" s="17" customFormat="1" ht="23.25" thickBot="1" x14ac:dyDescent="0.55000000000000004">
      <c r="A63" s="17" t="s">
        <v>130</v>
      </c>
      <c r="B63" s="34"/>
      <c r="C63" s="35">
        <f>SUM(C5:C62)</f>
        <v>38997656.56000001</v>
      </c>
      <c r="D63" s="36">
        <f>SUM(D5:D62)</f>
        <v>38997656.559999995</v>
      </c>
      <c r="E63" s="36">
        <f t="shared" ref="E63:J63" si="4">SUM(E5:E62)</f>
        <v>0</v>
      </c>
      <c r="F63" s="36">
        <f t="shared" si="4"/>
        <v>0</v>
      </c>
      <c r="G63" s="36">
        <f t="shared" si="4"/>
        <v>27414025.57</v>
      </c>
      <c r="H63" s="36">
        <f t="shared" si="4"/>
        <v>27414025.57</v>
      </c>
      <c r="I63" s="36">
        <f t="shared" si="4"/>
        <v>13948340.359999998</v>
      </c>
      <c r="J63" s="36">
        <f t="shared" si="4"/>
        <v>13948340.359999996</v>
      </c>
      <c r="K63" s="262">
        <f>I63-J63</f>
        <v>0</v>
      </c>
    </row>
    <row r="64" spans="1:11" s="284" customFormat="1" ht="25.5" thickTop="1" x14ac:dyDescent="0.5">
      <c r="A64" s="281"/>
      <c r="B64" s="281"/>
      <c r="C64" s="281"/>
      <c r="D64" s="282">
        <f>C63-D63</f>
        <v>0</v>
      </c>
      <c r="E64" s="283"/>
      <c r="F64" s="283">
        <f>E63-F63</f>
        <v>0</v>
      </c>
      <c r="G64" s="283"/>
      <c r="H64" s="283"/>
      <c r="I64" s="283"/>
      <c r="J64" s="283"/>
    </row>
    <row r="65" spans="1:23" s="284" customFormat="1" x14ac:dyDescent="0.5">
      <c r="E65" s="283"/>
      <c r="F65" s="283"/>
      <c r="G65" s="283"/>
      <c r="H65" s="283">
        <f>H63-G63</f>
        <v>0</v>
      </c>
      <c r="I65" s="283"/>
      <c r="J65" s="283">
        <f>I63-J63</f>
        <v>0</v>
      </c>
    </row>
    <row r="66" spans="1:23" s="284" customFormat="1" x14ac:dyDescent="0.5">
      <c r="E66" s="283"/>
      <c r="F66" s="283"/>
      <c r="G66" s="283"/>
      <c r="H66" s="283"/>
      <c r="I66" s="283"/>
      <c r="J66" s="283"/>
    </row>
    <row r="67" spans="1:23" s="284" customFormat="1" x14ac:dyDescent="0.5">
      <c r="E67" s="283"/>
      <c r="F67" s="283"/>
      <c r="G67" s="283"/>
      <c r="H67" s="283"/>
      <c r="I67" s="283"/>
      <c r="J67" s="283"/>
    </row>
    <row r="68" spans="1:23" s="284" customFormat="1" x14ac:dyDescent="0.5">
      <c r="E68" s="283"/>
      <c r="F68" s="283"/>
      <c r="G68" s="283"/>
      <c r="H68" s="283"/>
      <c r="I68" s="283"/>
      <c r="J68" s="283"/>
    </row>
    <row r="69" spans="1:23" s="81" customFormat="1" x14ac:dyDescent="0.6">
      <c r="A69" s="284"/>
      <c r="B69" s="284"/>
      <c r="C69" s="284"/>
      <c r="D69" s="284"/>
      <c r="E69" s="285"/>
      <c r="F69" s="285"/>
      <c r="G69" s="285"/>
      <c r="H69" s="285"/>
      <c r="I69" s="285"/>
      <c r="J69" s="285"/>
    </row>
    <row r="70" spans="1:23" s="81" customFormat="1" x14ac:dyDescent="0.6">
      <c r="A70" s="284"/>
      <c r="B70" s="284"/>
      <c r="C70" s="284"/>
      <c r="D70" s="284"/>
      <c r="E70" s="285"/>
      <c r="F70" s="285"/>
      <c r="G70" s="285"/>
      <c r="H70" s="285"/>
      <c r="I70" s="285"/>
      <c r="J70" s="285"/>
    </row>
    <row r="72" spans="1:23" s="81" customFormat="1" x14ac:dyDescent="0.6">
      <c r="A72" s="373"/>
      <c r="B72" s="373"/>
      <c r="C72" s="373"/>
      <c r="D72" s="373"/>
      <c r="E72" s="285"/>
      <c r="F72" s="285"/>
      <c r="G72" s="285"/>
      <c r="H72" s="285"/>
      <c r="I72" s="285"/>
      <c r="J72" s="285"/>
      <c r="Q72" s="265"/>
      <c r="R72" s="265"/>
      <c r="S72" s="265"/>
      <c r="T72" s="265"/>
      <c r="U72" s="265"/>
      <c r="V72" s="265"/>
      <c r="W72" s="265"/>
    </row>
    <row r="73" spans="1:23" s="81" customFormat="1" ht="15" customHeight="1" x14ac:dyDescent="0.6">
      <c r="A73" s="373"/>
      <c r="B73" s="373"/>
      <c r="C73" s="373"/>
      <c r="D73" s="373"/>
      <c r="E73" s="285"/>
      <c r="F73" s="285"/>
      <c r="G73" s="285"/>
      <c r="H73" s="285"/>
      <c r="I73" s="285"/>
      <c r="J73" s="285"/>
      <c r="Q73" s="265"/>
      <c r="R73" s="265"/>
      <c r="S73" s="265"/>
      <c r="T73" s="265"/>
      <c r="U73" s="265"/>
      <c r="V73" s="265"/>
      <c r="W73" s="265"/>
    </row>
    <row r="74" spans="1:23" s="81" customFormat="1" ht="15" customHeight="1" x14ac:dyDescent="0.6">
      <c r="A74" s="373"/>
      <c r="B74" s="373"/>
      <c r="C74" s="373"/>
      <c r="D74" s="266"/>
      <c r="E74" s="285"/>
      <c r="F74" s="285"/>
      <c r="G74" s="285"/>
      <c r="H74" s="285"/>
      <c r="I74" s="285"/>
      <c r="J74" s="285"/>
      <c r="Q74" s="265"/>
      <c r="R74" s="265"/>
      <c r="S74" s="265"/>
      <c r="T74" s="265"/>
      <c r="U74" s="265"/>
      <c r="V74" s="265"/>
      <c r="W74" s="265"/>
    </row>
    <row r="75" spans="1:23" s="81" customFormat="1" x14ac:dyDescent="0.6">
      <c r="A75" s="371"/>
      <c r="B75" s="371"/>
      <c r="C75" s="374"/>
      <c r="D75" s="371"/>
      <c r="E75" s="285"/>
      <c r="F75" s="285"/>
      <c r="G75" s="285"/>
      <c r="H75" s="285"/>
      <c r="I75" s="285"/>
      <c r="J75" s="285"/>
      <c r="Q75" s="265"/>
      <c r="R75" s="265"/>
      <c r="S75" s="265"/>
      <c r="T75" s="265"/>
      <c r="U75" s="265"/>
      <c r="V75" s="265"/>
      <c r="W75" s="265"/>
    </row>
    <row r="76" spans="1:23" s="81" customFormat="1" x14ac:dyDescent="0.6">
      <c r="A76" s="371"/>
      <c r="B76" s="371"/>
      <c r="C76" s="374"/>
      <c r="D76" s="371"/>
      <c r="E76" s="285"/>
      <c r="F76" s="285"/>
      <c r="G76" s="285"/>
      <c r="H76" s="285"/>
      <c r="I76" s="285"/>
      <c r="J76" s="285"/>
      <c r="Q76" s="265"/>
      <c r="R76" s="265"/>
      <c r="S76" s="265"/>
      <c r="T76" s="265"/>
      <c r="U76" s="265"/>
      <c r="V76" s="265"/>
      <c r="W76" s="265"/>
    </row>
    <row r="77" spans="1:23" s="81" customFormat="1" x14ac:dyDescent="0.6">
      <c r="A77" s="370"/>
      <c r="B77" s="370"/>
      <c r="C77" s="287"/>
      <c r="D77" s="288"/>
      <c r="E77" s="285"/>
      <c r="F77" s="285"/>
      <c r="G77" s="285"/>
      <c r="H77" s="285"/>
      <c r="I77" s="285"/>
      <c r="J77" s="285"/>
      <c r="Q77" s="265"/>
      <c r="R77" s="265"/>
      <c r="S77" s="265"/>
      <c r="T77" s="265"/>
      <c r="U77" s="265"/>
      <c r="V77" s="265"/>
      <c r="W77" s="265"/>
    </row>
    <row r="78" spans="1:23" s="81" customFormat="1" x14ac:dyDescent="0.6">
      <c r="A78" s="117"/>
      <c r="B78" s="117"/>
      <c r="C78" s="287"/>
      <c r="D78" s="288"/>
      <c r="E78" s="285"/>
      <c r="F78" s="285"/>
      <c r="G78" s="285"/>
      <c r="H78" s="285"/>
      <c r="I78" s="285"/>
      <c r="J78" s="285"/>
      <c r="Q78" s="265"/>
      <c r="R78" s="265"/>
      <c r="S78" s="265"/>
      <c r="T78" s="265"/>
      <c r="U78" s="265"/>
      <c r="V78" s="265"/>
      <c r="W78" s="265"/>
    </row>
    <row r="79" spans="1:23" s="81" customFormat="1" x14ac:dyDescent="0.6">
      <c r="A79" s="117"/>
      <c r="B79" s="117"/>
      <c r="C79" s="287"/>
      <c r="D79" s="288"/>
      <c r="E79" s="285"/>
      <c r="F79" s="285"/>
      <c r="G79" s="285"/>
      <c r="H79" s="285"/>
      <c r="I79" s="285"/>
      <c r="J79" s="285"/>
      <c r="Q79" s="265"/>
      <c r="R79" s="265"/>
      <c r="S79" s="265"/>
      <c r="T79" s="265"/>
      <c r="U79" s="265"/>
      <c r="V79" s="265"/>
      <c r="W79" s="265"/>
    </row>
    <row r="80" spans="1:23" s="81" customFormat="1" x14ac:dyDescent="0.6">
      <c r="A80" s="370"/>
      <c r="B80" s="370"/>
      <c r="C80" s="287"/>
      <c r="D80" s="288"/>
      <c r="E80" s="285"/>
      <c r="F80" s="285"/>
      <c r="G80" s="285"/>
      <c r="H80" s="285"/>
      <c r="I80" s="285"/>
      <c r="J80" s="285"/>
      <c r="Q80" s="265"/>
      <c r="R80" s="265"/>
      <c r="S80" s="265"/>
      <c r="T80" s="265"/>
      <c r="U80" s="265"/>
      <c r="V80" s="265"/>
      <c r="W80" s="265"/>
    </row>
    <row r="81" spans="1:23" s="81" customFormat="1" ht="20.25" customHeight="1" x14ac:dyDescent="0.6">
      <c r="A81" s="266"/>
      <c r="B81" s="266"/>
      <c r="C81" s="266"/>
      <c r="D81" s="288"/>
      <c r="E81" s="285"/>
      <c r="F81" s="285"/>
      <c r="G81" s="285"/>
      <c r="H81" s="285"/>
      <c r="I81" s="285"/>
      <c r="J81" s="285"/>
      <c r="Q81" s="265"/>
      <c r="R81" s="265"/>
      <c r="S81" s="265"/>
      <c r="T81" s="265"/>
      <c r="U81" s="265"/>
      <c r="V81" s="265"/>
      <c r="W81" s="265"/>
    </row>
    <row r="82" spans="1:23" s="81" customFormat="1" ht="20.25" customHeight="1" x14ac:dyDescent="0.6">
      <c r="A82" s="266"/>
      <c r="B82" s="289"/>
      <c r="C82" s="266"/>
      <c r="D82" s="290"/>
      <c r="E82" s="285"/>
      <c r="F82" s="285"/>
      <c r="G82" s="285"/>
      <c r="H82" s="285"/>
      <c r="I82" s="285"/>
      <c r="J82" s="285"/>
      <c r="Q82" s="265"/>
      <c r="R82" s="265"/>
      <c r="S82" s="265"/>
      <c r="T82" s="265"/>
      <c r="U82" s="265"/>
      <c r="V82" s="265"/>
      <c r="W82" s="265"/>
    </row>
    <row r="83" spans="1:23" s="81" customFormat="1" ht="20.25" customHeight="1" x14ac:dyDescent="0.6">
      <c r="A83" s="291"/>
      <c r="B83" s="371"/>
      <c r="C83" s="371"/>
      <c r="D83" s="291"/>
      <c r="E83" s="285"/>
      <c r="F83" s="285"/>
      <c r="G83" s="285"/>
      <c r="H83" s="285"/>
      <c r="I83" s="285"/>
      <c r="J83" s="285"/>
      <c r="Q83" s="265"/>
      <c r="R83" s="265"/>
      <c r="S83" s="265"/>
      <c r="T83" s="265"/>
      <c r="U83" s="265"/>
      <c r="V83" s="265"/>
      <c r="W83" s="265"/>
    </row>
    <row r="84" spans="1:23" s="81" customFormat="1" ht="20.25" customHeight="1" x14ac:dyDescent="0.6">
      <c r="A84" s="287"/>
      <c r="B84" s="287"/>
      <c r="C84" s="292"/>
      <c r="D84" s="292"/>
      <c r="E84" s="285"/>
      <c r="F84" s="285"/>
      <c r="G84" s="285"/>
      <c r="H84" s="285"/>
      <c r="I84" s="285"/>
      <c r="J84" s="285"/>
    </row>
    <row r="85" spans="1:23" s="81" customFormat="1" ht="20.25" customHeight="1" x14ac:dyDescent="0.6">
      <c r="A85" s="293"/>
      <c r="B85" s="372"/>
      <c r="C85" s="372"/>
      <c r="D85" s="293"/>
      <c r="E85" s="285"/>
      <c r="F85" s="285"/>
      <c r="G85" s="285"/>
      <c r="H85" s="285"/>
      <c r="I85" s="285"/>
      <c r="J85" s="285"/>
    </row>
    <row r="86" spans="1:23" s="81" customFormat="1" ht="20.25" customHeight="1" x14ac:dyDescent="0.6">
      <c r="A86" s="293"/>
      <c r="B86" s="372"/>
      <c r="C86" s="372"/>
      <c r="D86" s="293"/>
      <c r="E86" s="285"/>
      <c r="F86" s="285"/>
      <c r="G86" s="285"/>
      <c r="H86" s="285"/>
      <c r="I86" s="285"/>
      <c r="J86" s="285"/>
    </row>
    <row r="87" spans="1:23" s="81" customFormat="1" ht="20.25" customHeight="1" x14ac:dyDescent="0.6">
      <c r="A87" s="293"/>
      <c r="B87" s="293"/>
      <c r="C87" s="293"/>
      <c r="D87" s="293"/>
      <c r="E87" s="285"/>
      <c r="F87" s="285"/>
      <c r="G87" s="285"/>
      <c r="H87" s="285"/>
      <c r="I87" s="285"/>
      <c r="J87" s="285"/>
    </row>
    <row r="88" spans="1:23" s="81" customFormat="1" ht="20.25" customHeight="1" x14ac:dyDescent="0.6">
      <c r="C88" s="71"/>
      <c r="D88" s="71"/>
      <c r="E88" s="285"/>
      <c r="F88" s="285"/>
      <c r="G88" s="285"/>
      <c r="H88" s="285"/>
      <c r="I88" s="285"/>
      <c r="J88" s="285"/>
    </row>
    <row r="89" spans="1:23" s="81" customFormat="1" ht="20.25" customHeight="1" x14ac:dyDescent="0.6">
      <c r="C89" s="71"/>
      <c r="D89" s="71"/>
      <c r="E89" s="285"/>
      <c r="F89" s="285"/>
      <c r="G89" s="285"/>
      <c r="H89" s="285"/>
      <c r="I89" s="285"/>
      <c r="J89" s="285"/>
    </row>
    <row r="90" spans="1:23" s="81" customFormat="1" ht="20.25" customHeight="1" x14ac:dyDescent="0.6">
      <c r="E90" s="285"/>
      <c r="F90" s="285"/>
      <c r="G90" s="285"/>
      <c r="H90" s="285"/>
      <c r="I90" s="285"/>
      <c r="J90" s="285"/>
    </row>
    <row r="102" spans="2:17" ht="20.25" customHeight="1" x14ac:dyDescent="0.4">
      <c r="B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94"/>
    </row>
    <row r="103" spans="2:17" ht="20.25" customHeight="1" x14ac:dyDescent="0.4">
      <c r="B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94"/>
    </row>
  </sheetData>
  <mergeCells count="19">
    <mergeCell ref="A1:J1"/>
    <mergeCell ref="A2:J2"/>
    <mergeCell ref="A3:A4"/>
    <mergeCell ref="B3:B4"/>
    <mergeCell ref="C3:D3"/>
    <mergeCell ref="E3:F3"/>
    <mergeCell ref="G3:H3"/>
    <mergeCell ref="I3:J3"/>
    <mergeCell ref="A72:D72"/>
    <mergeCell ref="A73:D73"/>
    <mergeCell ref="A74:C74"/>
    <mergeCell ref="A75:B76"/>
    <mergeCell ref="C75:C76"/>
    <mergeCell ref="D75:D76"/>
    <mergeCell ref="A77:B77"/>
    <mergeCell ref="A80:B80"/>
    <mergeCell ref="B83:C83"/>
    <mergeCell ref="B85:C85"/>
    <mergeCell ref="B86:C86"/>
  </mergeCells>
  <pageMargins left="0.88" right="0.39" top="0.2" bottom="0.17" header="0.17" footer="0.17"/>
  <pageSetup paperSize="5" scale="88" orientation="landscape" r:id="rId1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0" workbookViewId="0">
      <selection activeCell="F35" sqref="F35"/>
    </sheetView>
  </sheetViews>
  <sheetFormatPr defaultRowHeight="24.75" x14ac:dyDescent="0.6"/>
  <cols>
    <col min="1" max="1" width="11.5703125" style="81" customWidth="1"/>
    <col min="2" max="2" width="4.28515625" style="81" customWidth="1"/>
    <col min="3" max="3" width="8.28515625" style="81" customWidth="1"/>
    <col min="4" max="5" width="9.140625" style="81"/>
    <col min="6" max="6" width="27.7109375" style="81" customWidth="1"/>
    <col min="7" max="7" width="9.140625" style="81"/>
    <col min="8" max="8" width="16.5703125" style="81" bestFit="1" customWidth="1"/>
    <col min="9" max="9" width="15.28515625" style="81" customWidth="1"/>
    <col min="10" max="10" width="11.85546875" style="81" customWidth="1"/>
    <col min="11" max="256" width="9.140625" style="81"/>
    <col min="257" max="257" width="11.42578125" style="81" customWidth="1"/>
    <col min="258" max="258" width="4.28515625" style="81" customWidth="1"/>
    <col min="259" max="259" width="8.28515625" style="81" customWidth="1"/>
    <col min="260" max="261" width="9.140625" style="81"/>
    <col min="262" max="262" width="27.7109375" style="81" customWidth="1"/>
    <col min="263" max="263" width="9.140625" style="81"/>
    <col min="264" max="264" width="15.28515625" style="81" customWidth="1"/>
    <col min="265" max="265" width="10.140625" style="81" customWidth="1"/>
    <col min="266" max="266" width="11.85546875" style="81" customWidth="1"/>
    <col min="267" max="512" width="9.140625" style="81"/>
    <col min="513" max="513" width="11.42578125" style="81" customWidth="1"/>
    <col min="514" max="514" width="4.28515625" style="81" customWidth="1"/>
    <col min="515" max="515" width="8.28515625" style="81" customWidth="1"/>
    <col min="516" max="517" width="9.140625" style="81"/>
    <col min="518" max="518" width="27.7109375" style="81" customWidth="1"/>
    <col min="519" max="519" width="9.140625" style="81"/>
    <col min="520" max="520" width="15.28515625" style="81" customWidth="1"/>
    <col min="521" max="521" width="10.140625" style="81" customWidth="1"/>
    <col min="522" max="522" width="11.85546875" style="81" customWidth="1"/>
    <col min="523" max="768" width="9.140625" style="81"/>
    <col min="769" max="769" width="11.42578125" style="81" customWidth="1"/>
    <col min="770" max="770" width="4.28515625" style="81" customWidth="1"/>
    <col min="771" max="771" width="8.28515625" style="81" customWidth="1"/>
    <col min="772" max="773" width="9.140625" style="81"/>
    <col min="774" max="774" width="27.7109375" style="81" customWidth="1"/>
    <col min="775" max="775" width="9.140625" style="81"/>
    <col min="776" max="776" width="15.28515625" style="81" customWidth="1"/>
    <col min="777" max="777" width="10.140625" style="81" customWidth="1"/>
    <col min="778" max="778" width="11.85546875" style="81" customWidth="1"/>
    <col min="779" max="1024" width="9.140625" style="81"/>
    <col min="1025" max="1025" width="11.42578125" style="81" customWidth="1"/>
    <col min="1026" max="1026" width="4.28515625" style="81" customWidth="1"/>
    <col min="1027" max="1027" width="8.28515625" style="81" customWidth="1"/>
    <col min="1028" max="1029" width="9.140625" style="81"/>
    <col min="1030" max="1030" width="27.7109375" style="81" customWidth="1"/>
    <col min="1031" max="1031" width="9.140625" style="81"/>
    <col min="1032" max="1032" width="15.28515625" style="81" customWidth="1"/>
    <col min="1033" max="1033" width="10.140625" style="81" customWidth="1"/>
    <col min="1034" max="1034" width="11.85546875" style="81" customWidth="1"/>
    <col min="1035" max="1280" width="9.140625" style="81"/>
    <col min="1281" max="1281" width="11.42578125" style="81" customWidth="1"/>
    <col min="1282" max="1282" width="4.28515625" style="81" customWidth="1"/>
    <col min="1283" max="1283" width="8.28515625" style="81" customWidth="1"/>
    <col min="1284" max="1285" width="9.140625" style="81"/>
    <col min="1286" max="1286" width="27.7109375" style="81" customWidth="1"/>
    <col min="1287" max="1287" width="9.140625" style="81"/>
    <col min="1288" max="1288" width="15.28515625" style="81" customWidth="1"/>
    <col min="1289" max="1289" width="10.140625" style="81" customWidth="1"/>
    <col min="1290" max="1290" width="11.85546875" style="81" customWidth="1"/>
    <col min="1291" max="1536" width="9.140625" style="81"/>
    <col min="1537" max="1537" width="11.42578125" style="81" customWidth="1"/>
    <col min="1538" max="1538" width="4.28515625" style="81" customWidth="1"/>
    <col min="1539" max="1539" width="8.28515625" style="81" customWidth="1"/>
    <col min="1540" max="1541" width="9.140625" style="81"/>
    <col min="1542" max="1542" width="27.7109375" style="81" customWidth="1"/>
    <col min="1543" max="1543" width="9.140625" style="81"/>
    <col min="1544" max="1544" width="15.28515625" style="81" customWidth="1"/>
    <col min="1545" max="1545" width="10.140625" style="81" customWidth="1"/>
    <col min="1546" max="1546" width="11.85546875" style="81" customWidth="1"/>
    <col min="1547" max="1792" width="9.140625" style="81"/>
    <col min="1793" max="1793" width="11.42578125" style="81" customWidth="1"/>
    <col min="1794" max="1794" width="4.28515625" style="81" customWidth="1"/>
    <col min="1795" max="1795" width="8.28515625" style="81" customWidth="1"/>
    <col min="1796" max="1797" width="9.140625" style="81"/>
    <col min="1798" max="1798" width="27.7109375" style="81" customWidth="1"/>
    <col min="1799" max="1799" width="9.140625" style="81"/>
    <col min="1800" max="1800" width="15.28515625" style="81" customWidth="1"/>
    <col min="1801" max="1801" width="10.140625" style="81" customWidth="1"/>
    <col min="1802" max="1802" width="11.85546875" style="81" customWidth="1"/>
    <col min="1803" max="2048" width="9.140625" style="81"/>
    <col min="2049" max="2049" width="11.42578125" style="81" customWidth="1"/>
    <col min="2050" max="2050" width="4.28515625" style="81" customWidth="1"/>
    <col min="2051" max="2051" width="8.28515625" style="81" customWidth="1"/>
    <col min="2052" max="2053" width="9.140625" style="81"/>
    <col min="2054" max="2054" width="27.7109375" style="81" customWidth="1"/>
    <col min="2055" max="2055" width="9.140625" style="81"/>
    <col min="2056" max="2056" width="15.28515625" style="81" customWidth="1"/>
    <col min="2057" max="2057" width="10.140625" style="81" customWidth="1"/>
    <col min="2058" max="2058" width="11.85546875" style="81" customWidth="1"/>
    <col min="2059" max="2304" width="9.140625" style="81"/>
    <col min="2305" max="2305" width="11.42578125" style="81" customWidth="1"/>
    <col min="2306" max="2306" width="4.28515625" style="81" customWidth="1"/>
    <col min="2307" max="2307" width="8.28515625" style="81" customWidth="1"/>
    <col min="2308" max="2309" width="9.140625" style="81"/>
    <col min="2310" max="2310" width="27.7109375" style="81" customWidth="1"/>
    <col min="2311" max="2311" width="9.140625" style="81"/>
    <col min="2312" max="2312" width="15.28515625" style="81" customWidth="1"/>
    <col min="2313" max="2313" width="10.140625" style="81" customWidth="1"/>
    <col min="2314" max="2314" width="11.85546875" style="81" customWidth="1"/>
    <col min="2315" max="2560" width="9.140625" style="81"/>
    <col min="2561" max="2561" width="11.42578125" style="81" customWidth="1"/>
    <col min="2562" max="2562" width="4.28515625" style="81" customWidth="1"/>
    <col min="2563" max="2563" width="8.28515625" style="81" customWidth="1"/>
    <col min="2564" max="2565" width="9.140625" style="81"/>
    <col min="2566" max="2566" width="27.7109375" style="81" customWidth="1"/>
    <col min="2567" max="2567" width="9.140625" style="81"/>
    <col min="2568" max="2568" width="15.28515625" style="81" customWidth="1"/>
    <col min="2569" max="2569" width="10.140625" style="81" customWidth="1"/>
    <col min="2570" max="2570" width="11.85546875" style="81" customWidth="1"/>
    <col min="2571" max="2816" width="9.140625" style="81"/>
    <col min="2817" max="2817" width="11.42578125" style="81" customWidth="1"/>
    <col min="2818" max="2818" width="4.28515625" style="81" customWidth="1"/>
    <col min="2819" max="2819" width="8.28515625" style="81" customWidth="1"/>
    <col min="2820" max="2821" width="9.140625" style="81"/>
    <col min="2822" max="2822" width="27.7109375" style="81" customWidth="1"/>
    <col min="2823" max="2823" width="9.140625" style="81"/>
    <col min="2824" max="2824" width="15.28515625" style="81" customWidth="1"/>
    <col min="2825" max="2825" width="10.140625" style="81" customWidth="1"/>
    <col min="2826" max="2826" width="11.85546875" style="81" customWidth="1"/>
    <col min="2827" max="3072" width="9.140625" style="81"/>
    <col min="3073" max="3073" width="11.42578125" style="81" customWidth="1"/>
    <col min="3074" max="3074" width="4.28515625" style="81" customWidth="1"/>
    <col min="3075" max="3075" width="8.28515625" style="81" customWidth="1"/>
    <col min="3076" max="3077" width="9.140625" style="81"/>
    <col min="3078" max="3078" width="27.7109375" style="81" customWidth="1"/>
    <col min="3079" max="3079" width="9.140625" style="81"/>
    <col min="3080" max="3080" width="15.28515625" style="81" customWidth="1"/>
    <col min="3081" max="3081" width="10.140625" style="81" customWidth="1"/>
    <col min="3082" max="3082" width="11.85546875" style="81" customWidth="1"/>
    <col min="3083" max="3328" width="9.140625" style="81"/>
    <col min="3329" max="3329" width="11.42578125" style="81" customWidth="1"/>
    <col min="3330" max="3330" width="4.28515625" style="81" customWidth="1"/>
    <col min="3331" max="3331" width="8.28515625" style="81" customWidth="1"/>
    <col min="3332" max="3333" width="9.140625" style="81"/>
    <col min="3334" max="3334" width="27.7109375" style="81" customWidth="1"/>
    <col min="3335" max="3335" width="9.140625" style="81"/>
    <col min="3336" max="3336" width="15.28515625" style="81" customWidth="1"/>
    <col min="3337" max="3337" width="10.140625" style="81" customWidth="1"/>
    <col min="3338" max="3338" width="11.85546875" style="81" customWidth="1"/>
    <col min="3339" max="3584" width="9.140625" style="81"/>
    <col min="3585" max="3585" width="11.42578125" style="81" customWidth="1"/>
    <col min="3586" max="3586" width="4.28515625" style="81" customWidth="1"/>
    <col min="3587" max="3587" width="8.28515625" style="81" customWidth="1"/>
    <col min="3588" max="3589" width="9.140625" style="81"/>
    <col min="3590" max="3590" width="27.7109375" style="81" customWidth="1"/>
    <col min="3591" max="3591" width="9.140625" style="81"/>
    <col min="3592" max="3592" width="15.28515625" style="81" customWidth="1"/>
    <col min="3593" max="3593" width="10.140625" style="81" customWidth="1"/>
    <col min="3594" max="3594" width="11.85546875" style="81" customWidth="1"/>
    <col min="3595" max="3840" width="9.140625" style="81"/>
    <col min="3841" max="3841" width="11.42578125" style="81" customWidth="1"/>
    <col min="3842" max="3842" width="4.28515625" style="81" customWidth="1"/>
    <col min="3843" max="3843" width="8.28515625" style="81" customWidth="1"/>
    <col min="3844" max="3845" width="9.140625" style="81"/>
    <col min="3846" max="3846" width="27.7109375" style="81" customWidth="1"/>
    <col min="3847" max="3847" width="9.140625" style="81"/>
    <col min="3848" max="3848" width="15.28515625" style="81" customWidth="1"/>
    <col min="3849" max="3849" width="10.140625" style="81" customWidth="1"/>
    <col min="3850" max="3850" width="11.85546875" style="81" customWidth="1"/>
    <col min="3851" max="4096" width="9.140625" style="81"/>
    <col min="4097" max="4097" width="11.42578125" style="81" customWidth="1"/>
    <col min="4098" max="4098" width="4.28515625" style="81" customWidth="1"/>
    <col min="4099" max="4099" width="8.28515625" style="81" customWidth="1"/>
    <col min="4100" max="4101" width="9.140625" style="81"/>
    <col min="4102" max="4102" width="27.7109375" style="81" customWidth="1"/>
    <col min="4103" max="4103" width="9.140625" style="81"/>
    <col min="4104" max="4104" width="15.28515625" style="81" customWidth="1"/>
    <col min="4105" max="4105" width="10.140625" style="81" customWidth="1"/>
    <col min="4106" max="4106" width="11.85546875" style="81" customWidth="1"/>
    <col min="4107" max="4352" width="9.140625" style="81"/>
    <col min="4353" max="4353" width="11.42578125" style="81" customWidth="1"/>
    <col min="4354" max="4354" width="4.28515625" style="81" customWidth="1"/>
    <col min="4355" max="4355" width="8.28515625" style="81" customWidth="1"/>
    <col min="4356" max="4357" width="9.140625" style="81"/>
    <col min="4358" max="4358" width="27.7109375" style="81" customWidth="1"/>
    <col min="4359" max="4359" width="9.140625" style="81"/>
    <col min="4360" max="4360" width="15.28515625" style="81" customWidth="1"/>
    <col min="4361" max="4361" width="10.140625" style="81" customWidth="1"/>
    <col min="4362" max="4362" width="11.85546875" style="81" customWidth="1"/>
    <col min="4363" max="4608" width="9.140625" style="81"/>
    <col min="4609" max="4609" width="11.42578125" style="81" customWidth="1"/>
    <col min="4610" max="4610" width="4.28515625" style="81" customWidth="1"/>
    <col min="4611" max="4611" width="8.28515625" style="81" customWidth="1"/>
    <col min="4612" max="4613" width="9.140625" style="81"/>
    <col min="4614" max="4614" width="27.7109375" style="81" customWidth="1"/>
    <col min="4615" max="4615" width="9.140625" style="81"/>
    <col min="4616" max="4616" width="15.28515625" style="81" customWidth="1"/>
    <col min="4617" max="4617" width="10.140625" style="81" customWidth="1"/>
    <col min="4618" max="4618" width="11.85546875" style="81" customWidth="1"/>
    <col min="4619" max="4864" width="9.140625" style="81"/>
    <col min="4865" max="4865" width="11.42578125" style="81" customWidth="1"/>
    <col min="4866" max="4866" width="4.28515625" style="81" customWidth="1"/>
    <col min="4867" max="4867" width="8.28515625" style="81" customWidth="1"/>
    <col min="4868" max="4869" width="9.140625" style="81"/>
    <col min="4870" max="4870" width="27.7109375" style="81" customWidth="1"/>
    <col min="4871" max="4871" width="9.140625" style="81"/>
    <col min="4872" max="4872" width="15.28515625" style="81" customWidth="1"/>
    <col min="4873" max="4873" width="10.140625" style="81" customWidth="1"/>
    <col min="4874" max="4874" width="11.85546875" style="81" customWidth="1"/>
    <col min="4875" max="5120" width="9.140625" style="81"/>
    <col min="5121" max="5121" width="11.42578125" style="81" customWidth="1"/>
    <col min="5122" max="5122" width="4.28515625" style="81" customWidth="1"/>
    <col min="5123" max="5123" width="8.28515625" style="81" customWidth="1"/>
    <col min="5124" max="5125" width="9.140625" style="81"/>
    <col min="5126" max="5126" width="27.7109375" style="81" customWidth="1"/>
    <col min="5127" max="5127" width="9.140625" style="81"/>
    <col min="5128" max="5128" width="15.28515625" style="81" customWidth="1"/>
    <col min="5129" max="5129" width="10.140625" style="81" customWidth="1"/>
    <col min="5130" max="5130" width="11.85546875" style="81" customWidth="1"/>
    <col min="5131" max="5376" width="9.140625" style="81"/>
    <col min="5377" max="5377" width="11.42578125" style="81" customWidth="1"/>
    <col min="5378" max="5378" width="4.28515625" style="81" customWidth="1"/>
    <col min="5379" max="5379" width="8.28515625" style="81" customWidth="1"/>
    <col min="5380" max="5381" width="9.140625" style="81"/>
    <col min="5382" max="5382" width="27.7109375" style="81" customWidth="1"/>
    <col min="5383" max="5383" width="9.140625" style="81"/>
    <col min="5384" max="5384" width="15.28515625" style="81" customWidth="1"/>
    <col min="5385" max="5385" width="10.140625" style="81" customWidth="1"/>
    <col min="5386" max="5386" width="11.85546875" style="81" customWidth="1"/>
    <col min="5387" max="5632" width="9.140625" style="81"/>
    <col min="5633" max="5633" width="11.42578125" style="81" customWidth="1"/>
    <col min="5634" max="5634" width="4.28515625" style="81" customWidth="1"/>
    <col min="5635" max="5635" width="8.28515625" style="81" customWidth="1"/>
    <col min="5636" max="5637" width="9.140625" style="81"/>
    <col min="5638" max="5638" width="27.7109375" style="81" customWidth="1"/>
    <col min="5639" max="5639" width="9.140625" style="81"/>
    <col min="5640" max="5640" width="15.28515625" style="81" customWidth="1"/>
    <col min="5641" max="5641" width="10.140625" style="81" customWidth="1"/>
    <col min="5642" max="5642" width="11.85546875" style="81" customWidth="1"/>
    <col min="5643" max="5888" width="9.140625" style="81"/>
    <col min="5889" max="5889" width="11.42578125" style="81" customWidth="1"/>
    <col min="5890" max="5890" width="4.28515625" style="81" customWidth="1"/>
    <col min="5891" max="5891" width="8.28515625" style="81" customWidth="1"/>
    <col min="5892" max="5893" width="9.140625" style="81"/>
    <col min="5894" max="5894" width="27.7109375" style="81" customWidth="1"/>
    <col min="5895" max="5895" width="9.140625" style="81"/>
    <col min="5896" max="5896" width="15.28515625" style="81" customWidth="1"/>
    <col min="5897" max="5897" width="10.140625" style="81" customWidth="1"/>
    <col min="5898" max="5898" width="11.85546875" style="81" customWidth="1"/>
    <col min="5899" max="6144" width="9.140625" style="81"/>
    <col min="6145" max="6145" width="11.42578125" style="81" customWidth="1"/>
    <col min="6146" max="6146" width="4.28515625" style="81" customWidth="1"/>
    <col min="6147" max="6147" width="8.28515625" style="81" customWidth="1"/>
    <col min="6148" max="6149" width="9.140625" style="81"/>
    <col min="6150" max="6150" width="27.7109375" style="81" customWidth="1"/>
    <col min="6151" max="6151" width="9.140625" style="81"/>
    <col min="6152" max="6152" width="15.28515625" style="81" customWidth="1"/>
    <col min="6153" max="6153" width="10.140625" style="81" customWidth="1"/>
    <col min="6154" max="6154" width="11.85546875" style="81" customWidth="1"/>
    <col min="6155" max="6400" width="9.140625" style="81"/>
    <col min="6401" max="6401" width="11.42578125" style="81" customWidth="1"/>
    <col min="6402" max="6402" width="4.28515625" style="81" customWidth="1"/>
    <col min="6403" max="6403" width="8.28515625" style="81" customWidth="1"/>
    <col min="6404" max="6405" width="9.140625" style="81"/>
    <col min="6406" max="6406" width="27.7109375" style="81" customWidth="1"/>
    <col min="6407" max="6407" width="9.140625" style="81"/>
    <col min="6408" max="6408" width="15.28515625" style="81" customWidth="1"/>
    <col min="6409" max="6409" width="10.140625" style="81" customWidth="1"/>
    <col min="6410" max="6410" width="11.85546875" style="81" customWidth="1"/>
    <col min="6411" max="6656" width="9.140625" style="81"/>
    <col min="6657" max="6657" width="11.42578125" style="81" customWidth="1"/>
    <col min="6658" max="6658" width="4.28515625" style="81" customWidth="1"/>
    <col min="6659" max="6659" width="8.28515625" style="81" customWidth="1"/>
    <col min="6660" max="6661" width="9.140625" style="81"/>
    <col min="6662" max="6662" width="27.7109375" style="81" customWidth="1"/>
    <col min="6663" max="6663" width="9.140625" style="81"/>
    <col min="6664" max="6664" width="15.28515625" style="81" customWidth="1"/>
    <col min="6665" max="6665" width="10.140625" style="81" customWidth="1"/>
    <col min="6666" max="6666" width="11.85546875" style="81" customWidth="1"/>
    <col min="6667" max="6912" width="9.140625" style="81"/>
    <col min="6913" max="6913" width="11.42578125" style="81" customWidth="1"/>
    <col min="6914" max="6914" width="4.28515625" style="81" customWidth="1"/>
    <col min="6915" max="6915" width="8.28515625" style="81" customWidth="1"/>
    <col min="6916" max="6917" width="9.140625" style="81"/>
    <col min="6918" max="6918" width="27.7109375" style="81" customWidth="1"/>
    <col min="6919" max="6919" width="9.140625" style="81"/>
    <col min="6920" max="6920" width="15.28515625" style="81" customWidth="1"/>
    <col min="6921" max="6921" width="10.140625" style="81" customWidth="1"/>
    <col min="6922" max="6922" width="11.85546875" style="81" customWidth="1"/>
    <col min="6923" max="7168" width="9.140625" style="81"/>
    <col min="7169" max="7169" width="11.42578125" style="81" customWidth="1"/>
    <col min="7170" max="7170" width="4.28515625" style="81" customWidth="1"/>
    <col min="7171" max="7171" width="8.28515625" style="81" customWidth="1"/>
    <col min="7172" max="7173" width="9.140625" style="81"/>
    <col min="7174" max="7174" width="27.7109375" style="81" customWidth="1"/>
    <col min="7175" max="7175" width="9.140625" style="81"/>
    <col min="7176" max="7176" width="15.28515625" style="81" customWidth="1"/>
    <col min="7177" max="7177" width="10.140625" style="81" customWidth="1"/>
    <col min="7178" max="7178" width="11.85546875" style="81" customWidth="1"/>
    <col min="7179" max="7424" width="9.140625" style="81"/>
    <col min="7425" max="7425" width="11.42578125" style="81" customWidth="1"/>
    <col min="7426" max="7426" width="4.28515625" style="81" customWidth="1"/>
    <col min="7427" max="7427" width="8.28515625" style="81" customWidth="1"/>
    <col min="7428" max="7429" width="9.140625" style="81"/>
    <col min="7430" max="7430" width="27.7109375" style="81" customWidth="1"/>
    <col min="7431" max="7431" width="9.140625" style="81"/>
    <col min="7432" max="7432" width="15.28515625" style="81" customWidth="1"/>
    <col min="7433" max="7433" width="10.140625" style="81" customWidth="1"/>
    <col min="7434" max="7434" width="11.85546875" style="81" customWidth="1"/>
    <col min="7435" max="7680" width="9.140625" style="81"/>
    <col min="7681" max="7681" width="11.42578125" style="81" customWidth="1"/>
    <col min="7682" max="7682" width="4.28515625" style="81" customWidth="1"/>
    <col min="7683" max="7683" width="8.28515625" style="81" customWidth="1"/>
    <col min="7684" max="7685" width="9.140625" style="81"/>
    <col min="7686" max="7686" width="27.7109375" style="81" customWidth="1"/>
    <col min="7687" max="7687" width="9.140625" style="81"/>
    <col min="7688" max="7688" width="15.28515625" style="81" customWidth="1"/>
    <col min="7689" max="7689" width="10.140625" style="81" customWidth="1"/>
    <col min="7690" max="7690" width="11.85546875" style="81" customWidth="1"/>
    <col min="7691" max="7936" width="9.140625" style="81"/>
    <col min="7937" max="7937" width="11.42578125" style="81" customWidth="1"/>
    <col min="7938" max="7938" width="4.28515625" style="81" customWidth="1"/>
    <col min="7939" max="7939" width="8.28515625" style="81" customWidth="1"/>
    <col min="7940" max="7941" width="9.140625" style="81"/>
    <col min="7942" max="7942" width="27.7109375" style="81" customWidth="1"/>
    <col min="7943" max="7943" width="9.140625" style="81"/>
    <col min="7944" max="7944" width="15.28515625" style="81" customWidth="1"/>
    <col min="7945" max="7945" width="10.140625" style="81" customWidth="1"/>
    <col min="7946" max="7946" width="11.85546875" style="81" customWidth="1"/>
    <col min="7947" max="8192" width="9.140625" style="81"/>
    <col min="8193" max="8193" width="11.42578125" style="81" customWidth="1"/>
    <col min="8194" max="8194" width="4.28515625" style="81" customWidth="1"/>
    <col min="8195" max="8195" width="8.28515625" style="81" customWidth="1"/>
    <col min="8196" max="8197" width="9.140625" style="81"/>
    <col min="8198" max="8198" width="27.7109375" style="81" customWidth="1"/>
    <col min="8199" max="8199" width="9.140625" style="81"/>
    <col min="8200" max="8200" width="15.28515625" style="81" customWidth="1"/>
    <col min="8201" max="8201" width="10.140625" style="81" customWidth="1"/>
    <col min="8202" max="8202" width="11.85546875" style="81" customWidth="1"/>
    <col min="8203" max="8448" width="9.140625" style="81"/>
    <col min="8449" max="8449" width="11.42578125" style="81" customWidth="1"/>
    <col min="8450" max="8450" width="4.28515625" style="81" customWidth="1"/>
    <col min="8451" max="8451" width="8.28515625" style="81" customWidth="1"/>
    <col min="8452" max="8453" width="9.140625" style="81"/>
    <col min="8454" max="8454" width="27.7109375" style="81" customWidth="1"/>
    <col min="8455" max="8455" width="9.140625" style="81"/>
    <col min="8456" max="8456" width="15.28515625" style="81" customWidth="1"/>
    <col min="8457" max="8457" width="10.140625" style="81" customWidth="1"/>
    <col min="8458" max="8458" width="11.85546875" style="81" customWidth="1"/>
    <col min="8459" max="8704" width="9.140625" style="81"/>
    <col min="8705" max="8705" width="11.42578125" style="81" customWidth="1"/>
    <col min="8706" max="8706" width="4.28515625" style="81" customWidth="1"/>
    <col min="8707" max="8707" width="8.28515625" style="81" customWidth="1"/>
    <col min="8708" max="8709" width="9.140625" style="81"/>
    <col min="8710" max="8710" width="27.7109375" style="81" customWidth="1"/>
    <col min="8711" max="8711" width="9.140625" style="81"/>
    <col min="8712" max="8712" width="15.28515625" style="81" customWidth="1"/>
    <col min="8713" max="8713" width="10.140625" style="81" customWidth="1"/>
    <col min="8714" max="8714" width="11.85546875" style="81" customWidth="1"/>
    <col min="8715" max="8960" width="9.140625" style="81"/>
    <col min="8961" max="8961" width="11.42578125" style="81" customWidth="1"/>
    <col min="8962" max="8962" width="4.28515625" style="81" customWidth="1"/>
    <col min="8963" max="8963" width="8.28515625" style="81" customWidth="1"/>
    <col min="8964" max="8965" width="9.140625" style="81"/>
    <col min="8966" max="8966" width="27.7109375" style="81" customWidth="1"/>
    <col min="8967" max="8967" width="9.140625" style="81"/>
    <col min="8968" max="8968" width="15.28515625" style="81" customWidth="1"/>
    <col min="8969" max="8969" width="10.140625" style="81" customWidth="1"/>
    <col min="8970" max="8970" width="11.85546875" style="81" customWidth="1"/>
    <col min="8971" max="9216" width="9.140625" style="81"/>
    <col min="9217" max="9217" width="11.42578125" style="81" customWidth="1"/>
    <col min="9218" max="9218" width="4.28515625" style="81" customWidth="1"/>
    <col min="9219" max="9219" width="8.28515625" style="81" customWidth="1"/>
    <col min="9220" max="9221" width="9.140625" style="81"/>
    <col min="9222" max="9222" width="27.7109375" style="81" customWidth="1"/>
    <col min="9223" max="9223" width="9.140625" style="81"/>
    <col min="9224" max="9224" width="15.28515625" style="81" customWidth="1"/>
    <col min="9225" max="9225" width="10.140625" style="81" customWidth="1"/>
    <col min="9226" max="9226" width="11.85546875" style="81" customWidth="1"/>
    <col min="9227" max="9472" width="9.140625" style="81"/>
    <col min="9473" max="9473" width="11.42578125" style="81" customWidth="1"/>
    <col min="9474" max="9474" width="4.28515625" style="81" customWidth="1"/>
    <col min="9475" max="9475" width="8.28515625" style="81" customWidth="1"/>
    <col min="9476" max="9477" width="9.140625" style="81"/>
    <col min="9478" max="9478" width="27.7109375" style="81" customWidth="1"/>
    <col min="9479" max="9479" width="9.140625" style="81"/>
    <col min="9480" max="9480" width="15.28515625" style="81" customWidth="1"/>
    <col min="9481" max="9481" width="10.140625" style="81" customWidth="1"/>
    <col min="9482" max="9482" width="11.85546875" style="81" customWidth="1"/>
    <col min="9483" max="9728" width="9.140625" style="81"/>
    <col min="9729" max="9729" width="11.42578125" style="81" customWidth="1"/>
    <col min="9730" max="9730" width="4.28515625" style="81" customWidth="1"/>
    <col min="9731" max="9731" width="8.28515625" style="81" customWidth="1"/>
    <col min="9732" max="9733" width="9.140625" style="81"/>
    <col min="9734" max="9734" width="27.7109375" style="81" customWidth="1"/>
    <col min="9735" max="9735" width="9.140625" style="81"/>
    <col min="9736" max="9736" width="15.28515625" style="81" customWidth="1"/>
    <col min="9737" max="9737" width="10.140625" style="81" customWidth="1"/>
    <col min="9738" max="9738" width="11.85546875" style="81" customWidth="1"/>
    <col min="9739" max="9984" width="9.140625" style="81"/>
    <col min="9985" max="9985" width="11.42578125" style="81" customWidth="1"/>
    <col min="9986" max="9986" width="4.28515625" style="81" customWidth="1"/>
    <col min="9987" max="9987" width="8.28515625" style="81" customWidth="1"/>
    <col min="9988" max="9989" width="9.140625" style="81"/>
    <col min="9990" max="9990" width="27.7109375" style="81" customWidth="1"/>
    <col min="9991" max="9991" width="9.140625" style="81"/>
    <col min="9992" max="9992" width="15.28515625" style="81" customWidth="1"/>
    <col min="9993" max="9993" width="10.140625" style="81" customWidth="1"/>
    <col min="9994" max="9994" width="11.85546875" style="81" customWidth="1"/>
    <col min="9995" max="10240" width="9.140625" style="81"/>
    <col min="10241" max="10241" width="11.42578125" style="81" customWidth="1"/>
    <col min="10242" max="10242" width="4.28515625" style="81" customWidth="1"/>
    <col min="10243" max="10243" width="8.28515625" style="81" customWidth="1"/>
    <col min="10244" max="10245" width="9.140625" style="81"/>
    <col min="10246" max="10246" width="27.7109375" style="81" customWidth="1"/>
    <col min="10247" max="10247" width="9.140625" style="81"/>
    <col min="10248" max="10248" width="15.28515625" style="81" customWidth="1"/>
    <col min="10249" max="10249" width="10.140625" style="81" customWidth="1"/>
    <col min="10250" max="10250" width="11.85546875" style="81" customWidth="1"/>
    <col min="10251" max="10496" width="9.140625" style="81"/>
    <col min="10497" max="10497" width="11.42578125" style="81" customWidth="1"/>
    <col min="10498" max="10498" width="4.28515625" style="81" customWidth="1"/>
    <col min="10499" max="10499" width="8.28515625" style="81" customWidth="1"/>
    <col min="10500" max="10501" width="9.140625" style="81"/>
    <col min="10502" max="10502" width="27.7109375" style="81" customWidth="1"/>
    <col min="10503" max="10503" width="9.140625" style="81"/>
    <col min="10504" max="10504" width="15.28515625" style="81" customWidth="1"/>
    <col min="10505" max="10505" width="10.140625" style="81" customWidth="1"/>
    <col min="10506" max="10506" width="11.85546875" style="81" customWidth="1"/>
    <col min="10507" max="10752" width="9.140625" style="81"/>
    <col min="10753" max="10753" width="11.42578125" style="81" customWidth="1"/>
    <col min="10754" max="10754" width="4.28515625" style="81" customWidth="1"/>
    <col min="10755" max="10755" width="8.28515625" style="81" customWidth="1"/>
    <col min="10756" max="10757" width="9.140625" style="81"/>
    <col min="10758" max="10758" width="27.7109375" style="81" customWidth="1"/>
    <col min="10759" max="10759" width="9.140625" style="81"/>
    <col min="10760" max="10760" width="15.28515625" style="81" customWidth="1"/>
    <col min="10761" max="10761" width="10.140625" style="81" customWidth="1"/>
    <col min="10762" max="10762" width="11.85546875" style="81" customWidth="1"/>
    <col min="10763" max="11008" width="9.140625" style="81"/>
    <col min="11009" max="11009" width="11.42578125" style="81" customWidth="1"/>
    <col min="11010" max="11010" width="4.28515625" style="81" customWidth="1"/>
    <col min="11011" max="11011" width="8.28515625" style="81" customWidth="1"/>
    <col min="11012" max="11013" width="9.140625" style="81"/>
    <col min="11014" max="11014" width="27.7109375" style="81" customWidth="1"/>
    <col min="11015" max="11015" width="9.140625" style="81"/>
    <col min="11016" max="11016" width="15.28515625" style="81" customWidth="1"/>
    <col min="11017" max="11017" width="10.140625" style="81" customWidth="1"/>
    <col min="11018" max="11018" width="11.85546875" style="81" customWidth="1"/>
    <col min="11019" max="11264" width="9.140625" style="81"/>
    <col min="11265" max="11265" width="11.42578125" style="81" customWidth="1"/>
    <col min="11266" max="11266" width="4.28515625" style="81" customWidth="1"/>
    <col min="11267" max="11267" width="8.28515625" style="81" customWidth="1"/>
    <col min="11268" max="11269" width="9.140625" style="81"/>
    <col min="11270" max="11270" width="27.7109375" style="81" customWidth="1"/>
    <col min="11271" max="11271" width="9.140625" style="81"/>
    <col min="11272" max="11272" width="15.28515625" style="81" customWidth="1"/>
    <col min="11273" max="11273" width="10.140625" style="81" customWidth="1"/>
    <col min="11274" max="11274" width="11.85546875" style="81" customWidth="1"/>
    <col min="11275" max="11520" width="9.140625" style="81"/>
    <col min="11521" max="11521" width="11.42578125" style="81" customWidth="1"/>
    <col min="11522" max="11522" width="4.28515625" style="81" customWidth="1"/>
    <col min="11523" max="11523" width="8.28515625" style="81" customWidth="1"/>
    <col min="11524" max="11525" width="9.140625" style="81"/>
    <col min="11526" max="11526" width="27.7109375" style="81" customWidth="1"/>
    <col min="11527" max="11527" width="9.140625" style="81"/>
    <col min="11528" max="11528" width="15.28515625" style="81" customWidth="1"/>
    <col min="11529" max="11529" width="10.140625" style="81" customWidth="1"/>
    <col min="11530" max="11530" width="11.85546875" style="81" customWidth="1"/>
    <col min="11531" max="11776" width="9.140625" style="81"/>
    <col min="11777" max="11777" width="11.42578125" style="81" customWidth="1"/>
    <col min="11778" max="11778" width="4.28515625" style="81" customWidth="1"/>
    <col min="11779" max="11779" width="8.28515625" style="81" customWidth="1"/>
    <col min="11780" max="11781" width="9.140625" style="81"/>
    <col min="11782" max="11782" width="27.7109375" style="81" customWidth="1"/>
    <col min="11783" max="11783" width="9.140625" style="81"/>
    <col min="11784" max="11784" width="15.28515625" style="81" customWidth="1"/>
    <col min="11785" max="11785" width="10.140625" style="81" customWidth="1"/>
    <col min="11786" max="11786" width="11.85546875" style="81" customWidth="1"/>
    <col min="11787" max="12032" width="9.140625" style="81"/>
    <col min="12033" max="12033" width="11.42578125" style="81" customWidth="1"/>
    <col min="12034" max="12034" width="4.28515625" style="81" customWidth="1"/>
    <col min="12035" max="12035" width="8.28515625" style="81" customWidth="1"/>
    <col min="12036" max="12037" width="9.140625" style="81"/>
    <col min="12038" max="12038" width="27.7109375" style="81" customWidth="1"/>
    <col min="12039" max="12039" width="9.140625" style="81"/>
    <col min="12040" max="12040" width="15.28515625" style="81" customWidth="1"/>
    <col min="12041" max="12041" width="10.140625" style="81" customWidth="1"/>
    <col min="12042" max="12042" width="11.85546875" style="81" customWidth="1"/>
    <col min="12043" max="12288" width="9.140625" style="81"/>
    <col min="12289" max="12289" width="11.42578125" style="81" customWidth="1"/>
    <col min="12290" max="12290" width="4.28515625" style="81" customWidth="1"/>
    <col min="12291" max="12291" width="8.28515625" style="81" customWidth="1"/>
    <col min="12292" max="12293" width="9.140625" style="81"/>
    <col min="12294" max="12294" width="27.7109375" style="81" customWidth="1"/>
    <col min="12295" max="12295" width="9.140625" style="81"/>
    <col min="12296" max="12296" width="15.28515625" style="81" customWidth="1"/>
    <col min="12297" max="12297" width="10.140625" style="81" customWidth="1"/>
    <col min="12298" max="12298" width="11.85546875" style="81" customWidth="1"/>
    <col min="12299" max="12544" width="9.140625" style="81"/>
    <col min="12545" max="12545" width="11.42578125" style="81" customWidth="1"/>
    <col min="12546" max="12546" width="4.28515625" style="81" customWidth="1"/>
    <col min="12547" max="12547" width="8.28515625" style="81" customWidth="1"/>
    <col min="12548" max="12549" width="9.140625" style="81"/>
    <col min="12550" max="12550" width="27.7109375" style="81" customWidth="1"/>
    <col min="12551" max="12551" width="9.140625" style="81"/>
    <col min="12552" max="12552" width="15.28515625" style="81" customWidth="1"/>
    <col min="12553" max="12553" width="10.140625" style="81" customWidth="1"/>
    <col min="12554" max="12554" width="11.85546875" style="81" customWidth="1"/>
    <col min="12555" max="12800" width="9.140625" style="81"/>
    <col min="12801" max="12801" width="11.42578125" style="81" customWidth="1"/>
    <col min="12802" max="12802" width="4.28515625" style="81" customWidth="1"/>
    <col min="12803" max="12803" width="8.28515625" style="81" customWidth="1"/>
    <col min="12804" max="12805" width="9.140625" style="81"/>
    <col min="12806" max="12806" width="27.7109375" style="81" customWidth="1"/>
    <col min="12807" max="12807" width="9.140625" style="81"/>
    <col min="12808" max="12808" width="15.28515625" style="81" customWidth="1"/>
    <col min="12809" max="12809" width="10.140625" style="81" customWidth="1"/>
    <col min="12810" max="12810" width="11.85546875" style="81" customWidth="1"/>
    <col min="12811" max="13056" width="9.140625" style="81"/>
    <col min="13057" max="13057" width="11.42578125" style="81" customWidth="1"/>
    <col min="13058" max="13058" width="4.28515625" style="81" customWidth="1"/>
    <col min="13059" max="13059" width="8.28515625" style="81" customWidth="1"/>
    <col min="13060" max="13061" width="9.140625" style="81"/>
    <col min="13062" max="13062" width="27.7109375" style="81" customWidth="1"/>
    <col min="13063" max="13063" width="9.140625" style="81"/>
    <col min="13064" max="13064" width="15.28515625" style="81" customWidth="1"/>
    <col min="13065" max="13065" width="10.140625" style="81" customWidth="1"/>
    <col min="13066" max="13066" width="11.85546875" style="81" customWidth="1"/>
    <col min="13067" max="13312" width="9.140625" style="81"/>
    <col min="13313" max="13313" width="11.42578125" style="81" customWidth="1"/>
    <col min="13314" max="13314" width="4.28515625" style="81" customWidth="1"/>
    <col min="13315" max="13315" width="8.28515625" style="81" customWidth="1"/>
    <col min="13316" max="13317" width="9.140625" style="81"/>
    <col min="13318" max="13318" width="27.7109375" style="81" customWidth="1"/>
    <col min="13319" max="13319" width="9.140625" style="81"/>
    <col min="13320" max="13320" width="15.28515625" style="81" customWidth="1"/>
    <col min="13321" max="13321" width="10.140625" style="81" customWidth="1"/>
    <col min="13322" max="13322" width="11.85546875" style="81" customWidth="1"/>
    <col min="13323" max="13568" width="9.140625" style="81"/>
    <col min="13569" max="13569" width="11.42578125" style="81" customWidth="1"/>
    <col min="13570" max="13570" width="4.28515625" style="81" customWidth="1"/>
    <col min="13571" max="13571" width="8.28515625" style="81" customWidth="1"/>
    <col min="13572" max="13573" width="9.140625" style="81"/>
    <col min="13574" max="13574" width="27.7109375" style="81" customWidth="1"/>
    <col min="13575" max="13575" width="9.140625" style="81"/>
    <col min="13576" max="13576" width="15.28515625" style="81" customWidth="1"/>
    <col min="13577" max="13577" width="10.140625" style="81" customWidth="1"/>
    <col min="13578" max="13578" width="11.85546875" style="81" customWidth="1"/>
    <col min="13579" max="13824" width="9.140625" style="81"/>
    <col min="13825" max="13825" width="11.42578125" style="81" customWidth="1"/>
    <col min="13826" max="13826" width="4.28515625" style="81" customWidth="1"/>
    <col min="13827" max="13827" width="8.28515625" style="81" customWidth="1"/>
    <col min="13828" max="13829" width="9.140625" style="81"/>
    <col min="13830" max="13830" width="27.7109375" style="81" customWidth="1"/>
    <col min="13831" max="13831" width="9.140625" style="81"/>
    <col min="13832" max="13832" width="15.28515625" style="81" customWidth="1"/>
    <col min="13833" max="13833" width="10.140625" style="81" customWidth="1"/>
    <col min="13834" max="13834" width="11.85546875" style="81" customWidth="1"/>
    <col min="13835" max="14080" width="9.140625" style="81"/>
    <col min="14081" max="14081" width="11.42578125" style="81" customWidth="1"/>
    <col min="14082" max="14082" width="4.28515625" style="81" customWidth="1"/>
    <col min="14083" max="14083" width="8.28515625" style="81" customWidth="1"/>
    <col min="14084" max="14085" width="9.140625" style="81"/>
    <col min="14086" max="14086" width="27.7109375" style="81" customWidth="1"/>
    <col min="14087" max="14087" width="9.140625" style="81"/>
    <col min="14088" max="14088" width="15.28515625" style="81" customWidth="1"/>
    <col min="14089" max="14089" width="10.140625" style="81" customWidth="1"/>
    <col min="14090" max="14090" width="11.85546875" style="81" customWidth="1"/>
    <col min="14091" max="14336" width="9.140625" style="81"/>
    <col min="14337" max="14337" width="11.42578125" style="81" customWidth="1"/>
    <col min="14338" max="14338" width="4.28515625" style="81" customWidth="1"/>
    <col min="14339" max="14339" width="8.28515625" style="81" customWidth="1"/>
    <col min="14340" max="14341" width="9.140625" style="81"/>
    <col min="14342" max="14342" width="27.7109375" style="81" customWidth="1"/>
    <col min="14343" max="14343" width="9.140625" style="81"/>
    <col min="14344" max="14344" width="15.28515625" style="81" customWidth="1"/>
    <col min="14345" max="14345" width="10.140625" style="81" customWidth="1"/>
    <col min="14346" max="14346" width="11.85546875" style="81" customWidth="1"/>
    <col min="14347" max="14592" width="9.140625" style="81"/>
    <col min="14593" max="14593" width="11.42578125" style="81" customWidth="1"/>
    <col min="14594" max="14594" width="4.28515625" style="81" customWidth="1"/>
    <col min="14595" max="14595" width="8.28515625" style="81" customWidth="1"/>
    <col min="14596" max="14597" width="9.140625" style="81"/>
    <col min="14598" max="14598" width="27.7109375" style="81" customWidth="1"/>
    <col min="14599" max="14599" width="9.140625" style="81"/>
    <col min="14600" max="14600" width="15.28515625" style="81" customWidth="1"/>
    <col min="14601" max="14601" width="10.140625" style="81" customWidth="1"/>
    <col min="14602" max="14602" width="11.85546875" style="81" customWidth="1"/>
    <col min="14603" max="14848" width="9.140625" style="81"/>
    <col min="14849" max="14849" width="11.42578125" style="81" customWidth="1"/>
    <col min="14850" max="14850" width="4.28515625" style="81" customWidth="1"/>
    <col min="14851" max="14851" width="8.28515625" style="81" customWidth="1"/>
    <col min="14852" max="14853" width="9.140625" style="81"/>
    <col min="14854" max="14854" width="27.7109375" style="81" customWidth="1"/>
    <col min="14855" max="14855" width="9.140625" style="81"/>
    <col min="14856" max="14856" width="15.28515625" style="81" customWidth="1"/>
    <col min="14857" max="14857" width="10.140625" style="81" customWidth="1"/>
    <col min="14858" max="14858" width="11.85546875" style="81" customWidth="1"/>
    <col min="14859" max="15104" width="9.140625" style="81"/>
    <col min="15105" max="15105" width="11.42578125" style="81" customWidth="1"/>
    <col min="15106" max="15106" width="4.28515625" style="81" customWidth="1"/>
    <col min="15107" max="15107" width="8.28515625" style="81" customWidth="1"/>
    <col min="15108" max="15109" width="9.140625" style="81"/>
    <col min="15110" max="15110" width="27.7109375" style="81" customWidth="1"/>
    <col min="15111" max="15111" width="9.140625" style="81"/>
    <col min="15112" max="15112" width="15.28515625" style="81" customWidth="1"/>
    <col min="15113" max="15113" width="10.140625" style="81" customWidth="1"/>
    <col min="15114" max="15114" width="11.85546875" style="81" customWidth="1"/>
    <col min="15115" max="15360" width="9.140625" style="81"/>
    <col min="15361" max="15361" width="11.42578125" style="81" customWidth="1"/>
    <col min="15362" max="15362" width="4.28515625" style="81" customWidth="1"/>
    <col min="15363" max="15363" width="8.28515625" style="81" customWidth="1"/>
    <col min="15364" max="15365" width="9.140625" style="81"/>
    <col min="15366" max="15366" width="27.7109375" style="81" customWidth="1"/>
    <col min="15367" max="15367" width="9.140625" style="81"/>
    <col min="15368" max="15368" width="15.28515625" style="81" customWidth="1"/>
    <col min="15369" max="15369" width="10.140625" style="81" customWidth="1"/>
    <col min="15370" max="15370" width="11.85546875" style="81" customWidth="1"/>
    <col min="15371" max="15616" width="9.140625" style="81"/>
    <col min="15617" max="15617" width="11.42578125" style="81" customWidth="1"/>
    <col min="15618" max="15618" width="4.28515625" style="81" customWidth="1"/>
    <col min="15619" max="15619" width="8.28515625" style="81" customWidth="1"/>
    <col min="15620" max="15621" width="9.140625" style="81"/>
    <col min="15622" max="15622" width="27.7109375" style="81" customWidth="1"/>
    <col min="15623" max="15623" width="9.140625" style="81"/>
    <col min="15624" max="15624" width="15.28515625" style="81" customWidth="1"/>
    <col min="15625" max="15625" width="10.140625" style="81" customWidth="1"/>
    <col min="15626" max="15626" width="11.85546875" style="81" customWidth="1"/>
    <col min="15627" max="15872" width="9.140625" style="81"/>
    <col min="15873" max="15873" width="11.42578125" style="81" customWidth="1"/>
    <col min="15874" max="15874" width="4.28515625" style="81" customWidth="1"/>
    <col min="15875" max="15875" width="8.28515625" style="81" customWidth="1"/>
    <col min="15876" max="15877" width="9.140625" style="81"/>
    <col min="15878" max="15878" width="27.7109375" style="81" customWidth="1"/>
    <col min="15879" max="15879" width="9.140625" style="81"/>
    <col min="15880" max="15880" width="15.28515625" style="81" customWidth="1"/>
    <col min="15881" max="15881" width="10.140625" style="81" customWidth="1"/>
    <col min="15882" max="15882" width="11.85546875" style="81" customWidth="1"/>
    <col min="15883" max="16128" width="9.140625" style="81"/>
    <col min="16129" max="16129" width="11.42578125" style="81" customWidth="1"/>
    <col min="16130" max="16130" width="4.28515625" style="81" customWidth="1"/>
    <col min="16131" max="16131" width="8.28515625" style="81" customWidth="1"/>
    <col min="16132" max="16133" width="9.140625" style="81"/>
    <col min="16134" max="16134" width="27.7109375" style="81" customWidth="1"/>
    <col min="16135" max="16135" width="9.140625" style="81"/>
    <col min="16136" max="16136" width="15.28515625" style="81" customWidth="1"/>
    <col min="16137" max="16137" width="10.140625" style="81" customWidth="1"/>
    <col min="16138" max="16138" width="11.85546875" style="81" customWidth="1"/>
    <col min="16139" max="16384" width="9.140625" style="81"/>
  </cols>
  <sheetData>
    <row r="1" spans="1:10" s="69" customFormat="1" ht="24" customHeight="1" x14ac:dyDescent="0.6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297"/>
    </row>
    <row r="2" spans="1:10" s="69" customFormat="1" ht="24" customHeight="1" x14ac:dyDescent="0.6">
      <c r="A2" s="384" t="s">
        <v>215</v>
      </c>
      <c r="B2" s="384"/>
      <c r="C2" s="384"/>
      <c r="D2" s="384"/>
      <c r="E2" s="384"/>
      <c r="F2" s="384"/>
      <c r="G2" s="384"/>
      <c r="H2" s="384"/>
      <c r="I2" s="384"/>
      <c r="J2" s="297"/>
    </row>
    <row r="3" spans="1:10" s="69" customFormat="1" ht="24" customHeight="1" x14ac:dyDescent="0.6">
      <c r="A3" s="384" t="s">
        <v>351</v>
      </c>
      <c r="B3" s="384"/>
      <c r="C3" s="384"/>
      <c r="D3" s="384"/>
      <c r="E3" s="384"/>
      <c r="F3" s="384"/>
      <c r="G3" s="384"/>
      <c r="H3" s="384"/>
      <c r="I3" s="384"/>
      <c r="J3" s="297"/>
    </row>
    <row r="4" spans="1:10" ht="24" customHeight="1" x14ac:dyDescent="0.6">
      <c r="A4" s="69" t="s">
        <v>295</v>
      </c>
    </row>
    <row r="5" spans="1:10" s="40" customFormat="1" ht="24" customHeight="1" x14ac:dyDescent="0.6">
      <c r="B5" s="40" t="s">
        <v>320</v>
      </c>
    </row>
    <row r="6" spans="1:10" s="40" customFormat="1" ht="24" customHeight="1" x14ac:dyDescent="0.6">
      <c r="A6" s="40" t="s">
        <v>321</v>
      </c>
    </row>
    <row r="7" spans="1:10" s="40" customFormat="1" ht="24" customHeight="1" x14ac:dyDescent="0.6">
      <c r="A7" s="40" t="s">
        <v>322</v>
      </c>
    </row>
    <row r="8" spans="1:10" s="40" customFormat="1" ht="24" customHeight="1" x14ac:dyDescent="0.6">
      <c r="B8" s="40" t="s">
        <v>296</v>
      </c>
      <c r="D8" s="40" t="s">
        <v>297</v>
      </c>
      <c r="E8" s="40" t="s">
        <v>298</v>
      </c>
      <c r="G8" s="40" t="s">
        <v>299</v>
      </c>
    </row>
    <row r="9" spans="1:10" s="40" customFormat="1" ht="24" customHeight="1" x14ac:dyDescent="0.6">
      <c r="B9" s="40" t="s">
        <v>300</v>
      </c>
      <c r="D9" s="40" t="s">
        <v>297</v>
      </c>
      <c r="E9" s="40" t="s">
        <v>303</v>
      </c>
      <c r="G9" s="40" t="s">
        <v>299</v>
      </c>
    </row>
    <row r="10" spans="1:10" s="40" customFormat="1" ht="24" customHeight="1" x14ac:dyDescent="0.6">
      <c r="B10" s="40" t="s">
        <v>301</v>
      </c>
      <c r="D10" s="40" t="s">
        <v>297</v>
      </c>
      <c r="E10" s="40" t="s">
        <v>306</v>
      </c>
      <c r="G10" s="40" t="s">
        <v>304</v>
      </c>
    </row>
    <row r="11" spans="1:10" s="40" customFormat="1" ht="24" customHeight="1" x14ac:dyDescent="0.6">
      <c r="E11" s="40" t="s">
        <v>307</v>
      </c>
      <c r="G11" s="40" t="s">
        <v>305</v>
      </c>
    </row>
    <row r="12" spans="1:10" s="40" customFormat="1" ht="24" customHeight="1" x14ac:dyDescent="0.6">
      <c r="B12" s="40" t="s">
        <v>302</v>
      </c>
      <c r="D12" s="40" t="s">
        <v>297</v>
      </c>
      <c r="E12" s="40" t="s">
        <v>308</v>
      </c>
      <c r="G12" s="40" t="s">
        <v>299</v>
      </c>
    </row>
    <row r="13" spans="1:10" s="40" customFormat="1" ht="24" customHeight="1" x14ac:dyDescent="0.6">
      <c r="A13" s="40" t="s">
        <v>309</v>
      </c>
    </row>
    <row r="14" spans="1:10" s="40" customFormat="1" ht="24" customHeight="1" x14ac:dyDescent="0.6">
      <c r="B14" s="40" t="s">
        <v>310</v>
      </c>
      <c r="D14" s="40" t="s">
        <v>315</v>
      </c>
    </row>
    <row r="15" spans="1:10" s="40" customFormat="1" ht="24" customHeight="1" x14ac:dyDescent="0.6">
      <c r="B15" s="40" t="s">
        <v>311</v>
      </c>
      <c r="D15" s="40" t="s">
        <v>316</v>
      </c>
    </row>
    <row r="16" spans="1:10" s="40" customFormat="1" ht="24" customHeight="1" x14ac:dyDescent="0.6">
      <c r="B16" s="40" t="s">
        <v>312</v>
      </c>
      <c r="D16" s="40" t="s">
        <v>317</v>
      </c>
    </row>
    <row r="17" spans="1:9" s="40" customFormat="1" ht="24" customHeight="1" x14ac:dyDescent="0.6">
      <c r="B17" s="40" t="s">
        <v>313</v>
      </c>
      <c r="D17" s="40" t="s">
        <v>318</v>
      </c>
    </row>
    <row r="18" spans="1:9" s="40" customFormat="1" ht="24" customHeight="1" x14ac:dyDescent="0.6">
      <c r="B18" s="40" t="s">
        <v>314</v>
      </c>
      <c r="D18" s="40" t="s">
        <v>319</v>
      </c>
    </row>
    <row r="19" spans="1:9" s="40" customFormat="1" ht="24" customHeight="1" x14ac:dyDescent="0.6">
      <c r="A19" s="42" t="s">
        <v>323</v>
      </c>
      <c r="B19" s="40" t="s">
        <v>324</v>
      </c>
    </row>
    <row r="20" spans="1:9" s="40" customFormat="1" ht="24" customHeight="1" x14ac:dyDescent="0.6">
      <c r="B20" s="101">
        <v>1</v>
      </c>
      <c r="C20" s="40" t="s">
        <v>325</v>
      </c>
    </row>
    <row r="21" spans="1:9" s="40" customFormat="1" ht="24" customHeight="1" x14ac:dyDescent="0.6">
      <c r="C21" s="40" t="s">
        <v>326</v>
      </c>
    </row>
    <row r="22" spans="1:9" s="40" customFormat="1" ht="24" customHeight="1" x14ac:dyDescent="0.6">
      <c r="A22" s="40" t="s">
        <v>327</v>
      </c>
    </row>
    <row r="23" spans="1:9" s="40" customFormat="1" ht="24" customHeight="1" x14ac:dyDescent="0.6">
      <c r="A23" s="40" t="s">
        <v>328</v>
      </c>
    </row>
    <row r="24" spans="1:9" s="40" customFormat="1" ht="24" customHeight="1" x14ac:dyDescent="0.6">
      <c r="B24" s="101">
        <v>2</v>
      </c>
      <c r="C24" s="40" t="s">
        <v>332</v>
      </c>
    </row>
    <row r="25" spans="1:9" s="40" customFormat="1" ht="24" customHeight="1" x14ac:dyDescent="0.6">
      <c r="A25" s="40" t="s">
        <v>436</v>
      </c>
      <c r="B25" s="101"/>
    </row>
    <row r="26" spans="1:9" s="40" customFormat="1" ht="24" customHeight="1" x14ac:dyDescent="0.6">
      <c r="B26" s="299">
        <v>2.1</v>
      </c>
      <c r="C26" s="44" t="s">
        <v>331</v>
      </c>
      <c r="D26" s="44"/>
      <c r="E26" s="44"/>
      <c r="F26" s="44"/>
      <c r="G26" s="44"/>
      <c r="H26" s="50">
        <v>2081695</v>
      </c>
      <c r="I26" s="44" t="s">
        <v>333</v>
      </c>
    </row>
    <row r="27" spans="1:9" s="40" customFormat="1" ht="24" customHeight="1" x14ac:dyDescent="0.6">
      <c r="B27" s="299"/>
      <c r="C27" s="44"/>
      <c r="D27" s="44"/>
      <c r="E27" s="44"/>
      <c r="F27" s="44"/>
      <c r="G27" s="44"/>
      <c r="H27" s="50"/>
      <c r="I27" s="44"/>
    </row>
    <row r="28" spans="1:9" s="40" customFormat="1" ht="24" customHeight="1" x14ac:dyDescent="0.6">
      <c r="C28" s="44"/>
      <c r="D28" s="44"/>
      <c r="E28" s="44"/>
      <c r="F28" s="44"/>
      <c r="G28" s="44"/>
      <c r="H28" s="50"/>
      <c r="I28" s="44"/>
    </row>
    <row r="29" spans="1:9" s="40" customFormat="1" ht="24" customHeight="1" x14ac:dyDescent="0.6">
      <c r="C29" s="44"/>
      <c r="D29" s="44"/>
      <c r="E29" s="44"/>
      <c r="F29" s="44"/>
      <c r="G29" s="44"/>
      <c r="H29" s="50"/>
      <c r="I29" s="44"/>
    </row>
    <row r="30" spans="1:9" s="40" customFormat="1" ht="24" customHeight="1" x14ac:dyDescent="0.6">
      <c r="C30" s="44"/>
      <c r="D30" s="44"/>
      <c r="E30" s="44"/>
      <c r="F30" s="44"/>
      <c r="G30" s="44"/>
      <c r="H30" s="50"/>
      <c r="I30" s="44"/>
    </row>
    <row r="31" spans="1:9" s="40" customFormat="1" ht="24" customHeight="1" x14ac:dyDescent="0.6">
      <c r="A31" s="44"/>
      <c r="B31" s="298"/>
      <c r="C31" s="44"/>
      <c r="D31" s="44"/>
      <c r="E31" s="44"/>
      <c r="F31" s="44"/>
      <c r="G31" s="44"/>
      <c r="H31" s="50"/>
      <c r="I31" s="44"/>
    </row>
    <row r="32" spans="1:9" s="40" customFormat="1" ht="24" customHeight="1" x14ac:dyDescent="0.6">
      <c r="A32" s="44"/>
      <c r="B32" s="44"/>
      <c r="C32" s="44"/>
      <c r="D32" s="44"/>
      <c r="E32" s="44"/>
      <c r="F32" s="44"/>
      <c r="G32" s="44"/>
      <c r="H32" s="50"/>
      <c r="I32" s="44"/>
    </row>
    <row r="33" spans="1:9" s="40" customFormat="1" ht="24" customHeight="1" x14ac:dyDescent="0.6">
      <c r="A33" s="44"/>
      <c r="B33" s="44"/>
      <c r="C33" s="44"/>
      <c r="D33" s="44"/>
      <c r="E33" s="44"/>
      <c r="F33" s="44"/>
      <c r="G33" s="44"/>
      <c r="H33" s="50"/>
      <c r="I33" s="44"/>
    </row>
    <row r="34" spans="1:9" s="40" customFormat="1" ht="24" customHeight="1" x14ac:dyDescent="0.6">
      <c r="A34" s="44"/>
      <c r="B34" s="44"/>
      <c r="C34" s="44"/>
      <c r="D34" s="44"/>
      <c r="E34" s="44"/>
      <c r="F34" s="44"/>
      <c r="G34" s="44"/>
      <c r="H34" s="50"/>
      <c r="I34" s="44"/>
    </row>
    <row r="35" spans="1:9" s="40" customFormat="1" ht="24" customHeight="1" x14ac:dyDescent="0.6">
      <c r="A35" s="44"/>
      <c r="B35" s="44"/>
      <c r="C35" s="44"/>
      <c r="D35" s="44"/>
      <c r="E35" s="44"/>
      <c r="F35" s="44"/>
      <c r="G35" s="44"/>
      <c r="H35" s="50"/>
      <c r="I35" s="44"/>
    </row>
    <row r="36" spans="1:9" s="40" customFormat="1" ht="24" customHeight="1" x14ac:dyDescent="0.6">
      <c r="A36" s="44"/>
      <c r="B36" s="44"/>
      <c r="C36" s="44"/>
      <c r="D36" s="44"/>
      <c r="E36" s="44"/>
      <c r="F36" s="44"/>
      <c r="G36" s="44"/>
      <c r="H36" s="50"/>
      <c r="I36" s="44"/>
    </row>
    <row r="37" spans="1:9" s="40" customFormat="1" ht="24" customHeight="1" x14ac:dyDescent="0.6">
      <c r="A37" s="44"/>
      <c r="B37" s="44"/>
      <c r="C37" s="44"/>
      <c r="D37" s="44"/>
      <c r="E37" s="44"/>
      <c r="F37" s="44"/>
      <c r="G37" s="44"/>
      <c r="H37" s="54"/>
      <c r="I37" s="44"/>
    </row>
    <row r="38" spans="1:9" ht="24" customHeight="1" x14ac:dyDescent="0.6"/>
  </sheetData>
  <mergeCells count="3">
    <mergeCell ref="A1:I1"/>
    <mergeCell ref="A2:I2"/>
    <mergeCell ref="A3:I3"/>
  </mergeCells>
  <pageMargins left="0.77" right="0.22" top="0.37" bottom="0.34" header="0.16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31" zoomScale="80" zoomScaleNormal="80" workbookViewId="0">
      <selection activeCell="K22" sqref="K22"/>
    </sheetView>
  </sheetViews>
  <sheetFormatPr defaultRowHeight="24.75" x14ac:dyDescent="0.6"/>
  <cols>
    <col min="1" max="1" width="9.140625" style="40"/>
    <col min="2" max="2" width="7" style="40" customWidth="1"/>
    <col min="3" max="3" width="9.140625" style="40"/>
    <col min="4" max="4" width="9.28515625" style="40" customWidth="1"/>
    <col min="5" max="6" width="9.140625" style="40"/>
    <col min="7" max="7" width="9.140625" style="43"/>
    <col min="8" max="8" width="12.7109375" style="40" bestFit="1" customWidth="1"/>
    <col min="9" max="9" width="21.140625" style="40" customWidth="1"/>
    <col min="10" max="10" width="9.140625" style="40"/>
    <col min="11" max="11" width="15.7109375" style="40" bestFit="1" customWidth="1"/>
    <col min="12" max="13" width="9.140625" style="40"/>
    <col min="14" max="14" width="15.28515625" style="40" bestFit="1" customWidth="1"/>
    <col min="15" max="16384" width="9.140625" style="40"/>
  </cols>
  <sheetData>
    <row r="1" spans="1:9" ht="31.5" x14ac:dyDescent="0.75">
      <c r="A1" s="337" t="s">
        <v>0</v>
      </c>
      <c r="B1" s="337"/>
      <c r="C1" s="337"/>
      <c r="D1" s="337"/>
      <c r="E1" s="337"/>
      <c r="F1" s="337"/>
      <c r="G1" s="337"/>
      <c r="H1" s="337"/>
      <c r="I1" s="337"/>
    </row>
    <row r="2" spans="1:9" ht="31.5" x14ac:dyDescent="0.75">
      <c r="A2" s="337" t="s">
        <v>174</v>
      </c>
      <c r="B2" s="337"/>
      <c r="C2" s="337"/>
      <c r="D2" s="337"/>
      <c r="E2" s="337"/>
      <c r="F2" s="337"/>
      <c r="G2" s="337"/>
      <c r="H2" s="337"/>
      <c r="I2" s="337"/>
    </row>
    <row r="3" spans="1:9" ht="31.5" x14ac:dyDescent="0.75">
      <c r="A3" s="337" t="s">
        <v>412</v>
      </c>
      <c r="B3" s="337"/>
      <c r="C3" s="337"/>
      <c r="D3" s="337"/>
      <c r="E3" s="337"/>
      <c r="F3" s="337"/>
      <c r="G3" s="337"/>
      <c r="H3" s="337"/>
      <c r="I3" s="337"/>
    </row>
    <row r="4" spans="1:9" ht="31.5" x14ac:dyDescent="0.75">
      <c r="A4" s="66"/>
      <c r="B4" s="67"/>
      <c r="C4" s="67"/>
      <c r="D4" s="67"/>
      <c r="E4" s="67"/>
      <c r="F4" s="67"/>
      <c r="G4" s="68" t="s">
        <v>38</v>
      </c>
      <c r="H4" s="67"/>
      <c r="I4" s="67"/>
    </row>
    <row r="5" spans="1:9" s="70" customFormat="1" ht="25.5" thickBot="1" x14ac:dyDescent="0.65">
      <c r="A5" s="69" t="s">
        <v>201</v>
      </c>
      <c r="B5" s="57"/>
      <c r="G5" s="71">
        <v>2</v>
      </c>
      <c r="I5" s="72">
        <f>งบทรัพย์สิน2!C27</f>
        <v>25928444.600000001</v>
      </c>
    </row>
    <row r="6" spans="1:9" s="70" customFormat="1" ht="25.5" thickTop="1" x14ac:dyDescent="0.6">
      <c r="A6" s="69" t="s">
        <v>202</v>
      </c>
      <c r="B6" s="57"/>
      <c r="G6" s="73"/>
      <c r="I6" s="74"/>
    </row>
    <row r="7" spans="1:9" s="70" customFormat="1" x14ac:dyDescent="0.6">
      <c r="A7" s="69"/>
      <c r="B7" s="69" t="s">
        <v>203</v>
      </c>
      <c r="G7" s="73"/>
      <c r="I7" s="74"/>
    </row>
    <row r="8" spans="1:9" x14ac:dyDescent="0.6">
      <c r="C8" s="40" t="s">
        <v>34</v>
      </c>
      <c r="G8" s="43">
        <v>10</v>
      </c>
      <c r="I8" s="45">
        <f>กระดาษทำการ!J22</f>
        <v>191095</v>
      </c>
    </row>
    <row r="9" spans="1:9" x14ac:dyDescent="0.6">
      <c r="C9" s="40" t="s">
        <v>204</v>
      </c>
      <c r="G9" s="43">
        <v>11</v>
      </c>
      <c r="I9" s="45">
        <f>กระดาษทำการ!J24</f>
        <v>0</v>
      </c>
    </row>
    <row r="10" spans="1:9" x14ac:dyDescent="0.6">
      <c r="C10" s="40" t="s">
        <v>361</v>
      </c>
      <c r="I10" s="45">
        <f>กระดาษทำการ!J23</f>
        <v>-9.4587448984384537E-11</v>
      </c>
    </row>
    <row r="11" spans="1:9" x14ac:dyDescent="0.6">
      <c r="C11" s="40" t="s">
        <v>171</v>
      </c>
      <c r="I11" s="45">
        <v>0</v>
      </c>
    </row>
    <row r="12" spans="1:9" x14ac:dyDescent="0.6">
      <c r="C12" s="40" t="s">
        <v>205</v>
      </c>
      <c r="G12" s="43">
        <v>12</v>
      </c>
      <c r="I12" s="45">
        <f>กระดาษทำการ!J25</f>
        <v>455147.56999999995</v>
      </c>
    </row>
    <row r="13" spans="1:9" x14ac:dyDescent="0.6">
      <c r="C13" s="40" t="s">
        <v>336</v>
      </c>
      <c r="I13" s="45">
        <f>กระดาษทำการ!J28</f>
        <v>51700</v>
      </c>
    </row>
    <row r="14" spans="1:9" x14ac:dyDescent="0.6">
      <c r="C14" s="40" t="s">
        <v>206</v>
      </c>
      <c r="G14" s="43">
        <v>13</v>
      </c>
      <c r="I14" s="45">
        <v>0</v>
      </c>
    </row>
    <row r="15" spans="1:9" x14ac:dyDescent="0.6">
      <c r="C15" s="69" t="s">
        <v>207</v>
      </c>
      <c r="I15" s="80">
        <f>SUM(I8:I14)</f>
        <v>697942.56999999983</v>
      </c>
    </row>
    <row r="16" spans="1:9" x14ac:dyDescent="0.6">
      <c r="B16" s="69" t="s">
        <v>208</v>
      </c>
      <c r="I16" s="45"/>
    </row>
    <row r="17" spans="1:14" x14ac:dyDescent="0.6">
      <c r="B17" s="75"/>
      <c r="C17" s="40" t="s">
        <v>209</v>
      </c>
      <c r="G17" s="43">
        <v>14</v>
      </c>
      <c r="I17" s="45">
        <v>0</v>
      </c>
    </row>
    <row r="18" spans="1:14" x14ac:dyDescent="0.6">
      <c r="B18" s="75"/>
      <c r="C18" s="40" t="s">
        <v>210</v>
      </c>
      <c r="G18" s="43">
        <v>15</v>
      </c>
      <c r="I18" s="50">
        <v>0</v>
      </c>
    </row>
    <row r="19" spans="1:14" x14ac:dyDescent="0.6">
      <c r="B19" s="69" t="s">
        <v>211</v>
      </c>
      <c r="H19" s="50"/>
      <c r="I19" s="80">
        <f>SUM(I17:I18)</f>
        <v>0</v>
      </c>
    </row>
    <row r="20" spans="1:14" x14ac:dyDescent="0.6">
      <c r="B20" s="42" t="s">
        <v>212</v>
      </c>
      <c r="H20" s="50"/>
      <c r="I20" s="80">
        <f>I15+I19</f>
        <v>697942.56999999983</v>
      </c>
    </row>
    <row r="21" spans="1:14" x14ac:dyDescent="0.6">
      <c r="A21" s="42" t="s">
        <v>127</v>
      </c>
      <c r="B21" s="69"/>
      <c r="I21" s="78"/>
      <c r="K21" s="48"/>
    </row>
    <row r="22" spans="1:14" x14ac:dyDescent="0.6">
      <c r="B22" s="81" t="s">
        <v>127</v>
      </c>
      <c r="G22" s="43">
        <v>16</v>
      </c>
      <c r="I22" s="50">
        <f>กระดาษทำการ!J26</f>
        <v>5844545.8575000009</v>
      </c>
      <c r="K22" s="48"/>
    </row>
    <row r="23" spans="1:14" x14ac:dyDescent="0.6">
      <c r="B23" s="81" t="s">
        <v>44</v>
      </c>
      <c r="G23" s="43">
        <v>17</v>
      </c>
      <c r="I23" s="50">
        <f>กระดาษทำการ!J27</f>
        <v>7405851.9325000001</v>
      </c>
      <c r="K23" s="48"/>
    </row>
    <row r="24" spans="1:14" x14ac:dyDescent="0.6">
      <c r="B24" s="69" t="s">
        <v>213</v>
      </c>
      <c r="I24" s="77">
        <f>SUM(I22:I23)</f>
        <v>13250397.790000001</v>
      </c>
      <c r="K24" s="48"/>
    </row>
    <row r="25" spans="1:14" ht="25.5" thickBot="1" x14ac:dyDescent="0.65">
      <c r="A25" s="42" t="s">
        <v>214</v>
      </c>
      <c r="B25" s="69"/>
      <c r="I25" s="79">
        <f>I20+I24</f>
        <v>13948340.360000001</v>
      </c>
      <c r="K25" s="48">
        <f>I25-'งบแสดงฐานะการเงิน(สท)'!I25</f>
        <v>0</v>
      </c>
    </row>
    <row r="26" spans="1:14" ht="25.5" thickTop="1" x14ac:dyDescent="0.6">
      <c r="B26" s="69"/>
      <c r="I26" s="78"/>
      <c r="K26" s="48"/>
    </row>
    <row r="27" spans="1:14" x14ac:dyDescent="0.6">
      <c r="A27" s="42" t="s">
        <v>200</v>
      </c>
      <c r="B27" s="69"/>
      <c r="I27" s="78"/>
      <c r="K27" s="48"/>
    </row>
    <row r="28" spans="1:14" x14ac:dyDescent="0.6">
      <c r="B28" s="69"/>
      <c r="I28" s="78"/>
      <c r="K28" s="48"/>
    </row>
    <row r="29" spans="1:14" x14ac:dyDescent="0.6">
      <c r="B29" s="43"/>
      <c r="E29" s="43"/>
      <c r="F29" s="43"/>
      <c r="N29" s="48"/>
    </row>
    <row r="30" spans="1:14" x14ac:dyDescent="0.6">
      <c r="B30" s="43"/>
    </row>
  </sheetData>
  <mergeCells count="3">
    <mergeCell ref="A1:I1"/>
    <mergeCell ref="A2:I2"/>
    <mergeCell ref="A3:I3"/>
  </mergeCells>
  <pageMargins left="0.82" right="0.4" top="0.37" bottom="0.44" header="0.42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5" zoomScale="80" zoomScaleNormal="80" workbookViewId="0">
      <selection activeCell="E18" sqref="E18"/>
    </sheetView>
  </sheetViews>
  <sheetFormatPr defaultRowHeight="24.75" x14ac:dyDescent="0.6"/>
  <cols>
    <col min="1" max="1" width="3.42578125" style="40" customWidth="1"/>
    <col min="2" max="2" width="51.42578125" style="40" customWidth="1"/>
    <col min="3" max="3" width="20.28515625" style="45" customWidth="1"/>
    <col min="4" max="4" width="34.5703125" style="40" customWidth="1"/>
    <col min="5" max="5" width="24.42578125" style="45" customWidth="1"/>
    <col min="6" max="6" width="17.140625" style="40" bestFit="1" customWidth="1"/>
    <col min="7" max="7" width="18.7109375" style="40" bestFit="1" customWidth="1"/>
    <col min="8" max="16384" width="9.140625" style="40"/>
  </cols>
  <sheetData>
    <row r="1" spans="1:8" ht="27.75" customHeight="1" x14ac:dyDescent="0.65">
      <c r="A1" s="338" t="s">
        <v>0</v>
      </c>
      <c r="B1" s="338"/>
      <c r="C1" s="338"/>
      <c r="D1" s="338"/>
      <c r="E1" s="338"/>
    </row>
    <row r="2" spans="1:8" ht="27.75" customHeight="1" x14ac:dyDescent="0.65">
      <c r="A2" s="338" t="s">
        <v>215</v>
      </c>
      <c r="B2" s="338"/>
      <c r="C2" s="338"/>
      <c r="D2" s="338"/>
      <c r="E2" s="338"/>
    </row>
    <row r="3" spans="1:8" ht="27.75" customHeight="1" x14ac:dyDescent="0.65">
      <c r="A3" s="339" t="s">
        <v>351</v>
      </c>
      <c r="B3" s="339"/>
      <c r="C3" s="339"/>
      <c r="D3" s="339"/>
      <c r="E3" s="339"/>
    </row>
    <row r="4" spans="1:8" ht="31.5" x14ac:dyDescent="0.75">
      <c r="A4" s="82" t="s">
        <v>216</v>
      </c>
      <c r="B4" s="83"/>
      <c r="C4" s="84"/>
      <c r="D4" s="84"/>
      <c r="E4" s="84"/>
    </row>
    <row r="5" spans="1:8" ht="21" customHeight="1" x14ac:dyDescent="0.6">
      <c r="A5" s="340" t="s">
        <v>1</v>
      </c>
      <c r="B5" s="341"/>
      <c r="C5" s="344" t="s">
        <v>221</v>
      </c>
      <c r="D5" s="346" t="s">
        <v>2</v>
      </c>
      <c r="E5" s="347"/>
    </row>
    <row r="6" spans="1:8" x14ac:dyDescent="0.6">
      <c r="A6" s="342"/>
      <c r="B6" s="343"/>
      <c r="C6" s="345"/>
      <c r="D6" s="85" t="s">
        <v>3</v>
      </c>
      <c r="E6" s="86" t="s">
        <v>4</v>
      </c>
    </row>
    <row r="7" spans="1:8" x14ac:dyDescent="0.6">
      <c r="A7" s="87" t="s">
        <v>6</v>
      </c>
      <c r="B7" s="88"/>
      <c r="C7" s="89"/>
      <c r="D7" s="90" t="s">
        <v>217</v>
      </c>
      <c r="E7" s="91">
        <f>984781.5-2500-10800-12300+1686960+2500-2360+752449.5-277500-122470+394570</f>
        <v>3393331</v>
      </c>
      <c r="G7" s="48"/>
      <c r="H7" s="48">
        <f>E7-'[1]2.'!$D$8</f>
        <v>747049.5</v>
      </c>
    </row>
    <row r="8" spans="1:8" x14ac:dyDescent="0.6">
      <c r="A8" s="92"/>
      <c r="B8" s="93" t="s">
        <v>7</v>
      </c>
      <c r="C8" s="94">
        <f>5562000+389000+2065000+144000+335000+1215000+634600-335000+223759.5+2344774.6</f>
        <v>12578134.1</v>
      </c>
      <c r="D8" s="95"/>
      <c r="E8" s="94"/>
      <c r="F8" s="48">
        <f>C8-'[1]2.'!$F$13</f>
        <v>2233534.0999999996</v>
      </c>
    </row>
    <row r="9" spans="1:8" x14ac:dyDescent="0.6">
      <c r="A9" s="92"/>
      <c r="B9" s="93" t="s">
        <v>8</v>
      </c>
      <c r="C9" s="94">
        <f>1440000+277500</f>
        <v>1717500</v>
      </c>
      <c r="D9" s="95" t="s">
        <v>127</v>
      </c>
      <c r="E9" s="94">
        <f>7180880+1090000+1175000</f>
        <v>9445880</v>
      </c>
      <c r="F9" s="48">
        <f>C9-'[1]2.'!$B$9</f>
        <v>277500</v>
      </c>
      <c r="H9" s="48">
        <f>E9-'[1]2.'!$D$9</f>
        <v>0</v>
      </c>
    </row>
    <row r="10" spans="1:8" x14ac:dyDescent="0.6">
      <c r="A10" s="92"/>
      <c r="B10" s="93" t="s">
        <v>347</v>
      </c>
      <c r="C10" s="94">
        <v>335000</v>
      </c>
      <c r="D10" s="95"/>
      <c r="E10" s="94"/>
      <c r="F10" s="48"/>
      <c r="H10" s="48"/>
    </row>
    <row r="11" spans="1:8" x14ac:dyDescent="0.6">
      <c r="A11" s="96" t="s">
        <v>9</v>
      </c>
      <c r="B11" s="93"/>
      <c r="C11" s="94"/>
      <c r="D11" s="95"/>
      <c r="E11" s="94"/>
    </row>
    <row r="12" spans="1:8" x14ac:dyDescent="0.6">
      <c r="A12" s="92"/>
      <c r="B12" s="93" t="s">
        <v>10</v>
      </c>
      <c r="C12" s="22">
        <f>2052740.5+170500+2500-54860-319734+72900+119000-88070</f>
        <v>1954976.5</v>
      </c>
      <c r="D12" s="95" t="s">
        <v>218</v>
      </c>
      <c r="E12" s="22">
        <f>2014549+13000+6900+36000+57430+40000-45000</f>
        <v>2122879</v>
      </c>
      <c r="F12" s="48">
        <f>C12-'[1]2.'!$B$15</f>
        <v>103830</v>
      </c>
      <c r="H12" s="48">
        <f>E12-'[1]2.'!$D$10</f>
        <v>0</v>
      </c>
    </row>
    <row r="13" spans="1:8" x14ac:dyDescent="0.6">
      <c r="A13" s="92"/>
      <c r="B13" s="93" t="s">
        <v>11</v>
      </c>
      <c r="C13" s="94">
        <v>25500</v>
      </c>
      <c r="D13" s="95"/>
      <c r="E13" s="94"/>
      <c r="F13" s="48">
        <f>C13-'[1]2.'!$B$16</f>
        <v>0</v>
      </c>
      <c r="G13" s="48">
        <f>C13-[2]Sheet1!$C$13</f>
        <v>0</v>
      </c>
    </row>
    <row r="14" spans="1:8" x14ac:dyDescent="0.6">
      <c r="A14" s="92"/>
      <c r="B14" s="93" t="s">
        <v>12</v>
      </c>
      <c r="C14" s="94">
        <f>2072800+1290000</f>
        <v>3362800</v>
      </c>
      <c r="D14" s="95" t="s">
        <v>219</v>
      </c>
      <c r="E14" s="94">
        <f>53700+3900-7500+277500+5890</f>
        <v>333490</v>
      </c>
      <c r="F14" s="48">
        <f>C14-'[1]2.'!$B$17</f>
        <v>0</v>
      </c>
      <c r="G14" s="48">
        <f>C14-[2]Sheet1!$C$12</f>
        <v>0</v>
      </c>
      <c r="H14" s="48">
        <f>E14-'[1]2.'!$D$11</f>
        <v>283390</v>
      </c>
    </row>
    <row r="15" spans="1:8" x14ac:dyDescent="0.6">
      <c r="A15" s="92"/>
      <c r="B15" s="93" t="s">
        <v>13</v>
      </c>
      <c r="C15" s="94">
        <f>49200+16000+20000</f>
        <v>85200</v>
      </c>
      <c r="D15" s="95"/>
      <c r="E15" s="94"/>
      <c r="F15" s="48">
        <f>C15-'[1]2.'!$B$18</f>
        <v>20000</v>
      </c>
      <c r="G15" s="48">
        <f>C15-[2]Sheet1!$C$10</f>
        <v>20000</v>
      </c>
    </row>
    <row r="16" spans="1:8" x14ac:dyDescent="0.6">
      <c r="A16" s="92"/>
      <c r="B16" s="93" t="s">
        <v>14</v>
      </c>
      <c r="C16" s="94">
        <v>17500</v>
      </c>
      <c r="D16" s="95" t="s">
        <v>220</v>
      </c>
      <c r="E16" s="94">
        <f>39690</f>
        <v>39690</v>
      </c>
      <c r="F16" s="48">
        <f>C16-'[1]2.'!$B$19</f>
        <v>0</v>
      </c>
      <c r="G16" s="48">
        <f>C16-[2]Sheet1!$C$11</f>
        <v>0</v>
      </c>
      <c r="H16" s="48">
        <f>E16-'[1]2.'!$D$12</f>
        <v>0</v>
      </c>
    </row>
    <row r="17" spans="1:8" x14ac:dyDescent="0.6">
      <c r="A17" s="92"/>
      <c r="B17" s="93" t="s">
        <v>15</v>
      </c>
      <c r="C17" s="94">
        <f>328930+98000+129100+105900-10800</f>
        <v>651130</v>
      </c>
      <c r="D17" s="95"/>
      <c r="E17" s="94"/>
      <c r="F17" s="48">
        <f>C17-'[1]2.'!$B$20</f>
        <v>224200</v>
      </c>
      <c r="G17" s="48">
        <f>C17-[2]Sheet1!$C$9</f>
        <v>224200</v>
      </c>
    </row>
    <row r="18" spans="1:8" x14ac:dyDescent="0.6">
      <c r="A18" s="92"/>
      <c r="B18" s="93" t="s">
        <v>16</v>
      </c>
      <c r="C18" s="94">
        <f>240510+12500+6490+40380-6700-90</f>
        <v>293090</v>
      </c>
      <c r="D18" s="95" t="s">
        <v>168</v>
      </c>
      <c r="E18" s="94">
        <f>1445400+3003249+319734+1848000+1951751-319734+2344774.6</f>
        <v>10593174.6</v>
      </c>
      <c r="F18" s="48">
        <f>C18-'[1]2.'!$B$21</f>
        <v>40080</v>
      </c>
      <c r="G18" s="48">
        <f>C18-[2]Sheet1!$C$5</f>
        <v>40080</v>
      </c>
      <c r="H18" s="48">
        <f>E18-'[1]2.'!$D$13</f>
        <v>2344774.5999999996</v>
      </c>
    </row>
    <row r="19" spans="1:8" x14ac:dyDescent="0.6">
      <c r="A19" s="92"/>
      <c r="B19" s="93" t="s">
        <v>17</v>
      </c>
      <c r="C19" s="94">
        <f>21500</f>
        <v>21500</v>
      </c>
      <c r="D19" s="95"/>
      <c r="E19" s="94"/>
      <c r="F19" s="48"/>
    </row>
    <row r="20" spans="1:8" x14ac:dyDescent="0.6">
      <c r="A20" s="92"/>
      <c r="B20" s="93" t="s">
        <v>18</v>
      </c>
      <c r="C20" s="94">
        <f>13279+5990+10500+39490</f>
        <v>69259</v>
      </c>
      <c r="D20" s="95" t="s">
        <v>44</v>
      </c>
      <c r="E20" s="94">
        <v>0</v>
      </c>
      <c r="F20" s="48">
        <f>C20-'[1]2.'!$B$22</f>
        <v>39490</v>
      </c>
      <c r="G20" s="48">
        <f>C20-[2]Sheet1!$C$4</f>
        <v>39490</v>
      </c>
    </row>
    <row r="21" spans="1:8" x14ac:dyDescent="0.6">
      <c r="A21" s="92"/>
      <c r="B21" s="93" t="s">
        <v>19</v>
      </c>
      <c r="C21" s="94">
        <f>19600+25800</f>
        <v>45400</v>
      </c>
      <c r="D21" s="95"/>
      <c r="E21" s="94"/>
      <c r="F21" s="48">
        <f>C21-'[1]2.'!$B$23</f>
        <v>25800</v>
      </c>
      <c r="G21" s="48">
        <f>C21-[2]Sheet1!$C$7</f>
        <v>25800</v>
      </c>
    </row>
    <row r="22" spans="1:8" x14ac:dyDescent="0.6">
      <c r="A22" s="92"/>
      <c r="B22" s="93" t="s">
        <v>20</v>
      </c>
      <c r="C22" s="94">
        <f>3003249+319734+997417</f>
        <v>4320400</v>
      </c>
      <c r="D22" s="95"/>
      <c r="E22" s="94"/>
      <c r="F22" s="48">
        <f>C22-'[1]2.'!$B$24</f>
        <v>0</v>
      </c>
      <c r="G22" s="48">
        <f>C22-[2]Sheet1!$C$14</f>
        <v>0</v>
      </c>
    </row>
    <row r="23" spans="1:8" x14ac:dyDescent="0.6">
      <c r="A23" s="92"/>
      <c r="B23" s="93" t="s">
        <v>21</v>
      </c>
      <c r="C23" s="94">
        <f>104740</f>
        <v>104740</v>
      </c>
      <c r="D23" s="95"/>
      <c r="E23" s="94"/>
      <c r="F23" s="48">
        <f>C23-'[1]2.'!$B$25</f>
        <v>0</v>
      </c>
      <c r="G23" s="48">
        <f>C23-[2]Sheet1!$C$6</f>
        <v>0</v>
      </c>
    </row>
    <row r="24" spans="1:8" x14ac:dyDescent="0.6">
      <c r="A24" s="92"/>
      <c r="B24" s="93" t="s">
        <v>22</v>
      </c>
      <c r="C24" s="94">
        <f>146135+13900+25000+16900+54280-16900</f>
        <v>239315</v>
      </c>
      <c r="D24" s="95"/>
      <c r="E24" s="94"/>
      <c r="F24" s="48">
        <f>C24-'[1]2.'!$B$26</f>
        <v>54280</v>
      </c>
      <c r="G24" s="48">
        <f>C24-[2]Sheet1!$C$3</f>
        <v>54280</v>
      </c>
    </row>
    <row r="25" spans="1:8" x14ac:dyDescent="0.6">
      <c r="A25" s="92"/>
      <c r="B25" s="93" t="s">
        <v>23</v>
      </c>
      <c r="C25" s="94">
        <f>9500+19500+19500+19500+19500+19500</f>
        <v>107000</v>
      </c>
      <c r="D25" s="95"/>
      <c r="E25" s="94"/>
      <c r="F25" s="48">
        <f>C25-'[1]2.'!$B$27</f>
        <v>0</v>
      </c>
      <c r="G25" s="48">
        <f>C25-[2]Sheet1!$C$15</f>
        <v>0</v>
      </c>
    </row>
    <row r="26" spans="1:8" x14ac:dyDescent="0.6">
      <c r="A26" s="92"/>
      <c r="B26" s="93" t="s">
        <v>24</v>
      </c>
      <c r="C26" s="94">
        <v>0</v>
      </c>
      <c r="D26" s="97"/>
      <c r="E26" s="98"/>
    </row>
    <row r="27" spans="1:8" ht="23.25" customHeight="1" x14ac:dyDescent="0.6">
      <c r="A27" s="348" t="s">
        <v>5</v>
      </c>
      <c r="B27" s="349"/>
      <c r="C27" s="99">
        <f>SUM(C8:C26)</f>
        <v>25928444.600000001</v>
      </c>
      <c r="D27" s="100"/>
      <c r="E27" s="99">
        <f>SUM(E7:E18)</f>
        <v>25928444.600000001</v>
      </c>
      <c r="G27" s="48">
        <f>C27-E27</f>
        <v>0</v>
      </c>
    </row>
    <row r="28" spans="1:8" ht="8.25" customHeight="1" x14ac:dyDescent="0.6"/>
    <row r="29" spans="1:8" x14ac:dyDescent="0.6">
      <c r="B29" s="101" t="s">
        <v>222</v>
      </c>
      <c r="D29" s="43"/>
    </row>
    <row r="30" spans="1:8" x14ac:dyDescent="0.6">
      <c r="A30" s="40" t="s">
        <v>223</v>
      </c>
      <c r="B30" s="43"/>
      <c r="C30" s="102"/>
      <c r="D30" s="43"/>
    </row>
    <row r="31" spans="1:8" ht="14.25" customHeight="1" x14ac:dyDescent="0.6">
      <c r="B31" s="43"/>
      <c r="C31" s="102"/>
      <c r="D31" s="43"/>
    </row>
    <row r="32" spans="1:8" x14ac:dyDescent="0.6">
      <c r="A32" s="340" t="s">
        <v>1</v>
      </c>
      <c r="B32" s="341"/>
      <c r="C32" s="344" t="s">
        <v>221</v>
      </c>
      <c r="D32" s="346" t="s">
        <v>2</v>
      </c>
      <c r="E32" s="347"/>
    </row>
    <row r="33" spans="1:6" x14ac:dyDescent="0.6">
      <c r="A33" s="342"/>
      <c r="B33" s="343"/>
      <c r="C33" s="345"/>
      <c r="D33" s="85" t="s">
        <v>3</v>
      </c>
      <c r="E33" s="86" t="s">
        <v>4</v>
      </c>
    </row>
    <row r="34" spans="1:6" x14ac:dyDescent="0.6">
      <c r="A34" s="313" t="s">
        <v>343</v>
      </c>
      <c r="B34" s="88"/>
      <c r="C34" s="89">
        <f>352255-1700</f>
        <v>350555</v>
      </c>
      <c r="D34" s="90" t="s">
        <v>217</v>
      </c>
      <c r="E34" s="91">
        <f>C44-E36</f>
        <v>413518</v>
      </c>
    </row>
    <row r="35" spans="1:6" x14ac:dyDescent="0.6">
      <c r="A35" s="92" t="s">
        <v>344</v>
      </c>
      <c r="B35" s="93"/>
      <c r="C35" s="94">
        <v>42600</v>
      </c>
      <c r="D35" s="95"/>
      <c r="E35" s="94"/>
    </row>
    <row r="36" spans="1:6" x14ac:dyDescent="0.6">
      <c r="A36" s="92" t="s">
        <v>345</v>
      </c>
      <c r="B36" s="93"/>
      <c r="C36" s="94">
        <v>24180</v>
      </c>
      <c r="D36" s="95" t="s">
        <v>219</v>
      </c>
      <c r="E36" s="94">
        <f>1817+2250+4700+3500</f>
        <v>12267</v>
      </c>
    </row>
    <row r="37" spans="1:6" x14ac:dyDescent="0.6">
      <c r="A37" s="92" t="s">
        <v>346</v>
      </c>
      <c r="B37" s="93"/>
      <c r="C37" s="94">
        <v>8450</v>
      </c>
      <c r="D37" s="95"/>
      <c r="E37" s="94"/>
    </row>
    <row r="38" spans="1:6" x14ac:dyDescent="0.6">
      <c r="A38" s="92"/>
      <c r="B38" s="93"/>
      <c r="C38" s="22"/>
      <c r="D38" s="95"/>
      <c r="E38" s="22"/>
    </row>
    <row r="39" spans="1:6" x14ac:dyDescent="0.6">
      <c r="A39" s="92"/>
      <c r="B39" s="93"/>
      <c r="C39" s="94"/>
      <c r="D39" s="95"/>
      <c r="E39" s="94"/>
    </row>
    <row r="40" spans="1:6" x14ac:dyDescent="0.6">
      <c r="A40" s="92"/>
      <c r="B40" s="93"/>
      <c r="C40" s="94"/>
      <c r="D40" s="95"/>
      <c r="E40" s="94"/>
    </row>
    <row r="41" spans="1:6" x14ac:dyDescent="0.6">
      <c r="A41" s="92"/>
      <c r="B41" s="93"/>
      <c r="C41" s="94"/>
      <c r="D41" s="95"/>
      <c r="E41" s="94"/>
    </row>
    <row r="42" spans="1:6" x14ac:dyDescent="0.6">
      <c r="A42" s="92"/>
      <c r="B42" s="93"/>
      <c r="C42" s="94"/>
      <c r="D42" s="95"/>
      <c r="E42" s="94"/>
    </row>
    <row r="43" spans="1:6" x14ac:dyDescent="0.6">
      <c r="A43" s="92"/>
      <c r="B43" s="93"/>
      <c r="C43" s="94"/>
      <c r="D43" s="95"/>
      <c r="E43" s="94"/>
    </row>
    <row r="44" spans="1:6" x14ac:dyDescent="0.6">
      <c r="A44" s="348" t="s">
        <v>5</v>
      </c>
      <c r="B44" s="349"/>
      <c r="C44" s="99">
        <f>SUM(C34:C43)</f>
        <v>425785</v>
      </c>
      <c r="D44" s="100"/>
      <c r="E44" s="99">
        <f>SUM(E34:E43)</f>
        <v>425785</v>
      </c>
      <c r="F44" s="48">
        <f>E27+E44</f>
        <v>26354229.600000001</v>
      </c>
    </row>
  </sheetData>
  <mergeCells count="11">
    <mergeCell ref="A32:B33"/>
    <mergeCell ref="C32:C33"/>
    <mergeCell ref="D32:E32"/>
    <mergeCell ref="A44:B44"/>
    <mergeCell ref="A27:B27"/>
    <mergeCell ref="A1:E1"/>
    <mergeCell ref="A2:E2"/>
    <mergeCell ref="A3:E3"/>
    <mergeCell ref="A5:B6"/>
    <mergeCell ref="C5:C6"/>
    <mergeCell ref="D5:E5"/>
  </mergeCells>
  <pageMargins left="0.82" right="0.25" top="0.69" bottom="0.44" header="0.69" footer="0.3"/>
  <pageSetup paperSize="9" scale="7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0" zoomScale="80" zoomScaleNormal="80" workbookViewId="0">
      <selection activeCell="A4" sqref="A4"/>
    </sheetView>
  </sheetViews>
  <sheetFormatPr defaultRowHeight="24.75" x14ac:dyDescent="0.6"/>
  <cols>
    <col min="1" max="1" width="9.7109375" style="40" customWidth="1"/>
    <col min="2" max="2" width="3.28515625" style="40" customWidth="1"/>
    <col min="3" max="3" width="4.28515625" style="40" customWidth="1"/>
    <col min="4" max="4" width="20.42578125" style="40" customWidth="1"/>
    <col min="5" max="7" width="9.140625" style="40"/>
    <col min="8" max="8" width="3" style="40" customWidth="1"/>
    <col min="9" max="9" width="16.85546875" style="40" bestFit="1" customWidth="1"/>
    <col min="10" max="10" width="17.28515625" style="45" customWidth="1"/>
    <col min="11" max="11" width="17.28515625" style="40" bestFit="1" customWidth="1"/>
    <col min="12" max="12" width="16" style="40" bestFit="1" customWidth="1"/>
    <col min="13" max="16384" width="9.140625" style="40"/>
  </cols>
  <sheetData>
    <row r="1" spans="1:12" ht="27.75" x14ac:dyDescent="0.6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27.75" x14ac:dyDescent="0.65">
      <c r="A2" s="338" t="s">
        <v>215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2" ht="27.75" x14ac:dyDescent="0.65">
      <c r="A3" s="339" t="s">
        <v>351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2" x14ac:dyDescent="0.6">
      <c r="A4" s="42" t="s">
        <v>224</v>
      </c>
    </row>
    <row r="5" spans="1:12" x14ac:dyDescent="0.6">
      <c r="B5" s="40" t="s">
        <v>25</v>
      </c>
      <c r="I5" s="48">
        <f>กระดาษทำการ!I5</f>
        <v>0</v>
      </c>
      <c r="J5" s="45">
        <v>0</v>
      </c>
    </row>
    <row r="6" spans="1:12" x14ac:dyDescent="0.6">
      <c r="B6" s="40" t="s">
        <v>26</v>
      </c>
    </row>
    <row r="7" spans="1:12" x14ac:dyDescent="0.6">
      <c r="C7" s="40" t="s">
        <v>145</v>
      </c>
    </row>
    <row r="8" spans="1:12" x14ac:dyDescent="0.6">
      <c r="D8" s="40" t="s">
        <v>28</v>
      </c>
      <c r="E8" s="40" t="s">
        <v>147</v>
      </c>
      <c r="I8" s="47">
        <f>กระดาษทำการ!I6</f>
        <v>383.34000000000697</v>
      </c>
      <c r="J8" s="45">
        <f>SUM(I8:I8)</f>
        <v>383.34000000000697</v>
      </c>
      <c r="L8" s="48"/>
    </row>
    <row r="9" spans="1:12" x14ac:dyDescent="0.6">
      <c r="C9" s="40" t="s">
        <v>146</v>
      </c>
    </row>
    <row r="10" spans="1:12" x14ac:dyDescent="0.6">
      <c r="D10" s="40" t="s">
        <v>28</v>
      </c>
      <c r="E10" s="40" t="s">
        <v>148</v>
      </c>
      <c r="I10" s="45">
        <f>กระดาษทำการ!I7</f>
        <v>10645186.189999999</v>
      </c>
      <c r="K10" s="48">
        <f>I10-งบทดลองหลังปิดบัญชี!C7</f>
        <v>0</v>
      </c>
      <c r="L10" s="48"/>
    </row>
    <row r="11" spans="1:12" x14ac:dyDescent="0.6">
      <c r="D11" s="40" t="s">
        <v>29</v>
      </c>
      <c r="E11" s="40" t="s">
        <v>149</v>
      </c>
      <c r="I11" s="50">
        <f>กระดาษทำการ!I9</f>
        <v>0</v>
      </c>
    </row>
    <row r="12" spans="1:12" x14ac:dyDescent="0.6">
      <c r="D12" s="40" t="s">
        <v>29</v>
      </c>
      <c r="E12" s="40" t="s">
        <v>166</v>
      </c>
      <c r="I12" s="50">
        <f>กระดาษทำการ!I10</f>
        <v>0</v>
      </c>
    </row>
    <row r="13" spans="1:12" x14ac:dyDescent="0.6">
      <c r="D13" s="40" t="s">
        <v>28</v>
      </c>
      <c r="E13" s="40" t="s">
        <v>284</v>
      </c>
      <c r="I13" s="50">
        <f>กระดาษทำการ!I11</f>
        <v>13.950000000000292</v>
      </c>
      <c r="L13" s="48"/>
    </row>
    <row r="14" spans="1:12" x14ac:dyDescent="0.6">
      <c r="D14" s="40" t="s">
        <v>29</v>
      </c>
      <c r="E14" s="40" t="s">
        <v>285</v>
      </c>
      <c r="I14" s="50">
        <f>กระดาษทำการ!I12</f>
        <v>0</v>
      </c>
    </row>
    <row r="15" spans="1:12" x14ac:dyDescent="0.6">
      <c r="D15" s="40" t="s">
        <v>27</v>
      </c>
      <c r="E15" s="40" t="s">
        <v>150</v>
      </c>
      <c r="I15" s="47">
        <f>กระดาษทำการ!I8</f>
        <v>2112779.2599999998</v>
      </c>
      <c r="J15" s="45">
        <f>SUM(I10:I15)</f>
        <v>12757979.399999999</v>
      </c>
      <c r="K15" s="48"/>
      <c r="L15" s="48"/>
    </row>
    <row r="16" spans="1:12" ht="25.5" thickBot="1" x14ac:dyDescent="0.65">
      <c r="J16" s="63">
        <f>SUM(J8:J15)</f>
        <v>12758362.739999998</v>
      </c>
      <c r="K16" s="48">
        <f>J16-[3]ก.ย.!$L$753</f>
        <v>0</v>
      </c>
      <c r="L16" s="48"/>
    </row>
    <row r="17" spans="1:11" ht="25.5" thickTop="1" x14ac:dyDescent="0.6"/>
    <row r="18" spans="1:11" x14ac:dyDescent="0.6">
      <c r="A18" s="42" t="s">
        <v>348</v>
      </c>
    </row>
    <row r="19" spans="1:11" x14ac:dyDescent="0.6">
      <c r="B19" s="44" t="s">
        <v>349</v>
      </c>
      <c r="C19" s="44"/>
      <c r="D19" s="44"/>
      <c r="E19" s="44"/>
      <c r="F19" s="44"/>
      <c r="G19" s="44"/>
      <c r="H19" s="44"/>
      <c r="I19" s="44"/>
      <c r="J19" s="50">
        <v>51700</v>
      </c>
      <c r="K19" s="44"/>
    </row>
    <row r="20" spans="1:11" ht="25.5" thickBot="1" x14ac:dyDescent="0.65">
      <c r="B20" s="44"/>
      <c r="C20" s="44"/>
      <c r="D20" s="44"/>
      <c r="E20" s="44"/>
      <c r="F20" s="44"/>
      <c r="G20" s="44"/>
      <c r="H20" s="44"/>
      <c r="I20" s="50"/>
      <c r="J20" s="63">
        <f>SUM(J19:J19)</f>
        <v>51700</v>
      </c>
      <c r="K20" s="44"/>
    </row>
    <row r="21" spans="1:11" ht="25.5" thickTop="1" x14ac:dyDescent="0.6"/>
  </sheetData>
  <mergeCells count="3">
    <mergeCell ref="A1:J1"/>
    <mergeCell ref="A2:J2"/>
    <mergeCell ref="A3:J3"/>
  </mergeCells>
  <pageMargins left="0.42" right="0.26" top="0.84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14" sqref="E14"/>
    </sheetView>
  </sheetViews>
  <sheetFormatPr defaultRowHeight="24.75" x14ac:dyDescent="0.6"/>
  <cols>
    <col min="1" max="1" width="9.7109375" style="40" customWidth="1"/>
    <col min="2" max="2" width="34.85546875" style="40" customWidth="1"/>
    <col min="3" max="3" width="11.140625" style="43" customWidth="1"/>
    <col min="4" max="4" width="17.28515625" style="40" customWidth="1"/>
    <col min="5" max="6" width="15.7109375" style="40" customWidth="1"/>
    <col min="7" max="7" width="9.140625" style="40"/>
    <col min="8" max="8" width="3" style="40" customWidth="1"/>
    <col min="9" max="9" width="16.140625" style="40" customWidth="1"/>
    <col min="10" max="10" width="17.28515625" style="45" customWidth="1"/>
    <col min="11" max="11" width="17" style="40" bestFit="1" customWidth="1"/>
    <col min="12" max="16384" width="9.140625" style="40"/>
  </cols>
  <sheetData>
    <row r="1" spans="1:11" ht="27.75" x14ac:dyDescent="0.65">
      <c r="A1" s="338" t="s">
        <v>0</v>
      </c>
      <c r="B1" s="338"/>
      <c r="C1" s="338"/>
      <c r="D1" s="338"/>
      <c r="E1" s="338"/>
      <c r="F1" s="39"/>
      <c r="G1" s="39"/>
      <c r="H1" s="39"/>
      <c r="I1" s="39"/>
      <c r="J1" s="39"/>
    </row>
    <row r="2" spans="1:11" ht="27.75" x14ac:dyDescent="0.65">
      <c r="A2" s="338" t="s">
        <v>215</v>
      </c>
      <c r="B2" s="338"/>
      <c r="C2" s="338"/>
      <c r="D2" s="338"/>
      <c r="E2" s="338"/>
      <c r="F2" s="39"/>
      <c r="G2" s="39"/>
      <c r="H2" s="39"/>
      <c r="I2" s="39"/>
      <c r="J2" s="39"/>
    </row>
    <row r="3" spans="1:11" ht="27.75" x14ac:dyDescent="0.65">
      <c r="A3" s="339" t="s">
        <v>351</v>
      </c>
      <c r="B3" s="339"/>
      <c r="C3" s="339"/>
      <c r="D3" s="339"/>
      <c r="E3" s="339"/>
      <c r="F3" s="41"/>
      <c r="G3" s="41"/>
      <c r="H3" s="41"/>
      <c r="I3" s="41"/>
      <c r="J3" s="41"/>
    </row>
    <row r="4" spans="1:11" x14ac:dyDescent="0.6">
      <c r="A4" s="103" t="s">
        <v>225</v>
      </c>
      <c r="B4" s="44"/>
      <c r="C4" s="104"/>
      <c r="D4" s="44"/>
      <c r="E4" s="44"/>
      <c r="F4" s="44"/>
      <c r="G4" s="44"/>
      <c r="H4" s="44"/>
      <c r="I4" s="44"/>
      <c r="J4" s="50"/>
    </row>
    <row r="5" spans="1:11" x14ac:dyDescent="0.6">
      <c r="A5" s="44"/>
      <c r="B5" s="85" t="s">
        <v>226</v>
      </c>
      <c r="C5" s="85" t="s">
        <v>227</v>
      </c>
      <c r="D5" s="85" t="s">
        <v>228</v>
      </c>
      <c r="E5" s="85" t="s">
        <v>4</v>
      </c>
      <c r="F5" s="44"/>
      <c r="G5" s="44"/>
      <c r="H5" s="44"/>
      <c r="I5" s="44"/>
      <c r="J5" s="50"/>
    </row>
    <row r="6" spans="1:11" x14ac:dyDescent="0.6">
      <c r="A6" s="44"/>
      <c r="B6" s="105" t="s">
        <v>120</v>
      </c>
      <c r="C6" s="85">
        <v>2555</v>
      </c>
      <c r="D6" s="106">
        <v>3</v>
      </c>
      <c r="E6" s="107">
        <f>796*95/100</f>
        <v>756.2</v>
      </c>
      <c r="F6" s="44">
        <v>1618</v>
      </c>
      <c r="G6" s="54">
        <f>E6-'[1]3-4'!$H$16</f>
        <v>-780.89999999999986</v>
      </c>
      <c r="H6" s="44"/>
      <c r="I6" s="50"/>
      <c r="J6" s="50"/>
    </row>
    <row r="7" spans="1:11" x14ac:dyDescent="0.6">
      <c r="A7" s="44"/>
      <c r="B7" s="108"/>
      <c r="C7" s="85">
        <v>2556</v>
      </c>
      <c r="D7" s="106">
        <v>8</v>
      </c>
      <c r="E7" s="107">
        <f>1519*95/100</f>
        <v>1443.05</v>
      </c>
      <c r="F7" s="54">
        <v>2341</v>
      </c>
      <c r="G7" s="54">
        <f>E7-'[1]3-4'!$H$17</f>
        <v>-780.89999999999986</v>
      </c>
      <c r="H7" s="44"/>
      <c r="I7" s="50"/>
      <c r="J7" s="50"/>
    </row>
    <row r="8" spans="1:11" x14ac:dyDescent="0.6">
      <c r="A8" s="44"/>
      <c r="B8" s="108"/>
      <c r="C8" s="85">
        <v>2557</v>
      </c>
      <c r="D8" s="106">
        <v>0</v>
      </c>
      <c r="E8" s="107">
        <v>0</v>
      </c>
      <c r="F8" s="54"/>
      <c r="G8" s="44"/>
      <c r="H8" s="44"/>
      <c r="I8" s="50"/>
      <c r="J8" s="50"/>
      <c r="K8" s="48">
        <f>SUM(J6:J8)</f>
        <v>0</v>
      </c>
    </row>
    <row r="9" spans="1:11" x14ac:dyDescent="0.6">
      <c r="A9" s="44"/>
      <c r="B9" s="108"/>
      <c r="C9" s="85">
        <v>2558</v>
      </c>
      <c r="D9" s="106">
        <v>0</v>
      </c>
      <c r="E9" s="107">
        <v>0</v>
      </c>
      <c r="F9" s="44">
        <v>920</v>
      </c>
      <c r="G9" s="54">
        <f>E9-'[1]3-4'!$H$18</f>
        <v>-874</v>
      </c>
      <c r="H9" s="44"/>
      <c r="I9" s="44"/>
      <c r="J9" s="50"/>
    </row>
    <row r="10" spans="1:11" x14ac:dyDescent="0.6">
      <c r="A10" s="44"/>
      <c r="B10" s="108"/>
      <c r="C10" s="314">
        <v>2559</v>
      </c>
      <c r="D10" s="106">
        <v>0</v>
      </c>
      <c r="E10" s="107"/>
      <c r="F10" s="44"/>
      <c r="G10" s="54"/>
      <c r="H10" s="44"/>
      <c r="I10" s="44"/>
      <c r="J10" s="50"/>
    </row>
    <row r="11" spans="1:11" x14ac:dyDescent="0.6">
      <c r="A11" s="44"/>
      <c r="B11" s="109"/>
      <c r="C11" s="329">
        <v>2560</v>
      </c>
      <c r="D11" s="106">
        <v>0</v>
      </c>
      <c r="E11" s="107">
        <v>0</v>
      </c>
      <c r="F11" s="44"/>
      <c r="G11" s="54"/>
      <c r="H11" s="44"/>
      <c r="I11" s="44"/>
      <c r="J11" s="50"/>
    </row>
    <row r="12" spans="1:11" x14ac:dyDescent="0.6">
      <c r="B12" s="350" t="s">
        <v>5</v>
      </c>
      <c r="C12" s="351"/>
      <c r="D12" s="110">
        <f>SUM(D6:D11)</f>
        <v>11</v>
      </c>
      <c r="E12" s="99">
        <f>SUM(E6:E9)</f>
        <v>2199.25</v>
      </c>
      <c r="F12" s="48">
        <f>SUM(F6:F9)</f>
        <v>4879</v>
      </c>
      <c r="G12" s="48">
        <f>E12-'[1]3-4'!$H$19</f>
        <v>-2435.7999999999993</v>
      </c>
      <c r="I12" s="48">
        <f>E12-780.9</f>
        <v>1418.35</v>
      </c>
    </row>
    <row r="13" spans="1:11" x14ac:dyDescent="0.6">
      <c r="B13" s="350" t="s">
        <v>169</v>
      </c>
      <c r="C13" s="351"/>
      <c r="D13" s="110">
        <f>SUM(D12)</f>
        <v>11</v>
      </c>
      <c r="E13" s="99">
        <f>SUM(E12)</f>
        <v>2199.25</v>
      </c>
    </row>
  </sheetData>
  <mergeCells count="5">
    <mergeCell ref="B12:C12"/>
    <mergeCell ref="B13:C13"/>
    <mergeCell ref="A1:E1"/>
    <mergeCell ref="A2:E2"/>
    <mergeCell ref="A3:E3"/>
  </mergeCells>
  <pageMargins left="0.86" right="0.26" top="0.84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80" zoomScaleNormal="80" workbookViewId="0">
      <selection activeCell="G11" sqref="G11"/>
    </sheetView>
  </sheetViews>
  <sheetFormatPr defaultRowHeight="24.75" x14ac:dyDescent="0.6"/>
  <cols>
    <col min="1" max="1" width="15" style="40" customWidth="1"/>
    <col min="2" max="2" width="21.42578125" style="40" bestFit="1" customWidth="1"/>
    <col min="3" max="3" width="42" style="43" bestFit="1" customWidth="1"/>
    <col min="4" max="4" width="20.28515625" style="40" bestFit="1" customWidth="1"/>
    <col min="5" max="5" width="28.5703125" style="40" bestFit="1" customWidth="1"/>
    <col min="6" max="6" width="8.7109375" style="40" bestFit="1" customWidth="1"/>
    <col min="7" max="7" width="14.85546875" style="45" bestFit="1" customWidth="1"/>
    <col min="8" max="8" width="3" style="40" customWidth="1"/>
    <col min="9" max="9" width="16.140625" style="40" customWidth="1"/>
    <col min="10" max="10" width="17.28515625" style="45" customWidth="1"/>
    <col min="11" max="11" width="17" style="40" bestFit="1" customWidth="1"/>
    <col min="12" max="16384" width="9.140625" style="40"/>
  </cols>
  <sheetData>
    <row r="1" spans="1:10" ht="27.75" x14ac:dyDescent="0.65">
      <c r="A1" s="338" t="s">
        <v>0</v>
      </c>
      <c r="B1" s="338"/>
      <c r="C1" s="338"/>
      <c r="D1" s="338"/>
      <c r="E1" s="338"/>
      <c r="F1" s="338"/>
      <c r="G1" s="338"/>
      <c r="H1" s="39"/>
      <c r="I1" s="39"/>
      <c r="J1" s="39"/>
    </row>
    <row r="2" spans="1:10" ht="27.75" x14ac:dyDescent="0.65">
      <c r="A2" s="338" t="s">
        <v>215</v>
      </c>
      <c r="B2" s="338"/>
      <c r="C2" s="338"/>
      <c r="D2" s="338"/>
      <c r="E2" s="338"/>
      <c r="F2" s="338"/>
      <c r="G2" s="338"/>
      <c r="H2" s="39"/>
      <c r="I2" s="39"/>
      <c r="J2" s="39"/>
    </row>
    <row r="3" spans="1:10" ht="27.75" x14ac:dyDescent="0.65">
      <c r="A3" s="339" t="s">
        <v>351</v>
      </c>
      <c r="B3" s="339"/>
      <c r="C3" s="339"/>
      <c r="D3" s="339"/>
      <c r="E3" s="339"/>
      <c r="F3" s="339"/>
      <c r="G3" s="339"/>
      <c r="H3" s="41"/>
      <c r="I3" s="41"/>
      <c r="J3" s="41"/>
    </row>
    <row r="4" spans="1:10" x14ac:dyDescent="0.6">
      <c r="A4" s="42" t="s">
        <v>229</v>
      </c>
      <c r="F4" s="44"/>
      <c r="G4" s="50"/>
      <c r="H4" s="44"/>
      <c r="I4" s="44"/>
      <c r="J4" s="50"/>
    </row>
    <row r="5" spans="1:10" x14ac:dyDescent="0.6">
      <c r="A5" s="85" t="s">
        <v>230</v>
      </c>
      <c r="B5" s="85" t="s">
        <v>231</v>
      </c>
      <c r="C5" s="85" t="s">
        <v>232</v>
      </c>
      <c r="D5" s="85" t="s">
        <v>233</v>
      </c>
      <c r="E5" s="85" t="s">
        <v>234</v>
      </c>
      <c r="F5" s="85" t="s">
        <v>235</v>
      </c>
      <c r="G5" s="86" t="s">
        <v>4</v>
      </c>
      <c r="H5" s="44"/>
      <c r="I5" s="44"/>
      <c r="J5" s="50"/>
    </row>
    <row r="6" spans="1:10" x14ac:dyDescent="0.6">
      <c r="A6" s="90" t="s">
        <v>256</v>
      </c>
      <c r="B6" s="90" t="s">
        <v>402</v>
      </c>
      <c r="C6" s="90" t="s">
        <v>403</v>
      </c>
      <c r="D6" s="90" t="s">
        <v>47</v>
      </c>
      <c r="E6" s="90" t="s">
        <v>410</v>
      </c>
      <c r="F6" s="89"/>
      <c r="G6" s="310">
        <v>51150</v>
      </c>
      <c r="H6" s="44"/>
      <c r="I6" s="54">
        <f>G6-'[1]5'!$G$8</f>
        <v>-110850</v>
      </c>
      <c r="J6" s="50"/>
    </row>
    <row r="7" spans="1:10" x14ac:dyDescent="0.6">
      <c r="A7" s="95" t="s">
        <v>256</v>
      </c>
      <c r="B7" s="95" t="s">
        <v>404</v>
      </c>
      <c r="C7" s="95" t="s">
        <v>405</v>
      </c>
      <c r="D7" s="95" t="s">
        <v>47</v>
      </c>
      <c r="E7" s="95" t="s">
        <v>410</v>
      </c>
      <c r="F7" s="94"/>
      <c r="G7" s="135">
        <v>9000</v>
      </c>
      <c r="H7" s="44"/>
      <c r="I7" s="54">
        <f>G7-'[1]5'!$G$9</f>
        <v>-106000</v>
      </c>
      <c r="J7" s="50"/>
    </row>
    <row r="8" spans="1:10" x14ac:dyDescent="0.6">
      <c r="A8" s="95" t="s">
        <v>256</v>
      </c>
      <c r="B8" s="95" t="s">
        <v>404</v>
      </c>
      <c r="C8" s="95" t="s">
        <v>405</v>
      </c>
      <c r="D8" s="95" t="s">
        <v>47</v>
      </c>
      <c r="E8" s="95" t="s">
        <v>410</v>
      </c>
      <c r="F8" s="94"/>
      <c r="G8" s="135">
        <v>9000</v>
      </c>
      <c r="H8" s="44"/>
      <c r="I8" s="50">
        <f>G8-'[1]5'!$G$10</f>
        <v>-101000</v>
      </c>
      <c r="J8" s="50"/>
    </row>
    <row r="9" spans="1:10" x14ac:dyDescent="0.6">
      <c r="A9" s="95" t="s">
        <v>256</v>
      </c>
      <c r="B9" s="95" t="s">
        <v>404</v>
      </c>
      <c r="C9" s="95" t="s">
        <v>405</v>
      </c>
      <c r="D9" s="95" t="s">
        <v>47</v>
      </c>
      <c r="E9" s="95" t="s">
        <v>410</v>
      </c>
      <c r="F9" s="94"/>
      <c r="G9" s="135">
        <v>9000</v>
      </c>
      <c r="H9" s="44"/>
      <c r="I9" s="44"/>
      <c r="J9" s="50"/>
    </row>
    <row r="10" spans="1:10" x14ac:dyDescent="0.6">
      <c r="A10" s="95" t="s">
        <v>256</v>
      </c>
      <c r="B10" s="95" t="s">
        <v>404</v>
      </c>
      <c r="C10" s="95" t="s">
        <v>405</v>
      </c>
      <c r="D10" s="95" t="s">
        <v>47</v>
      </c>
      <c r="E10" s="95" t="s">
        <v>410</v>
      </c>
      <c r="F10" s="94"/>
      <c r="G10" s="135">
        <v>9000</v>
      </c>
      <c r="H10" s="44"/>
      <c r="I10" s="50"/>
      <c r="J10" s="50"/>
    </row>
    <row r="11" spans="1:10" x14ac:dyDescent="0.6">
      <c r="A11" s="95" t="s">
        <v>256</v>
      </c>
      <c r="B11" s="95" t="s">
        <v>404</v>
      </c>
      <c r="C11" s="95" t="s">
        <v>405</v>
      </c>
      <c r="D11" s="95" t="s">
        <v>47</v>
      </c>
      <c r="E11" s="95" t="s">
        <v>410</v>
      </c>
      <c r="F11" s="94"/>
      <c r="G11" s="94">
        <v>8000</v>
      </c>
      <c r="I11" s="48">
        <f>G11-'[1]5'!$G$11</f>
        <v>-379000</v>
      </c>
    </row>
    <row r="12" spans="1:10" x14ac:dyDescent="0.6">
      <c r="A12" s="95" t="s">
        <v>256</v>
      </c>
      <c r="B12" s="95" t="s">
        <v>404</v>
      </c>
      <c r="C12" s="95" t="s">
        <v>405</v>
      </c>
      <c r="D12" s="95" t="s">
        <v>47</v>
      </c>
      <c r="E12" s="95" t="s">
        <v>410</v>
      </c>
      <c r="F12" s="94"/>
      <c r="G12" s="94">
        <v>8000</v>
      </c>
    </row>
    <row r="13" spans="1:10" x14ac:dyDescent="0.6">
      <c r="A13" s="95" t="s">
        <v>256</v>
      </c>
      <c r="B13" s="95" t="s">
        <v>406</v>
      </c>
      <c r="C13" s="95" t="s">
        <v>48</v>
      </c>
      <c r="D13" s="95" t="s">
        <v>47</v>
      </c>
      <c r="E13" s="95" t="s">
        <v>410</v>
      </c>
      <c r="F13" s="94"/>
      <c r="G13" s="94">
        <v>9000</v>
      </c>
    </row>
    <row r="14" spans="1:10" x14ac:dyDescent="0.6">
      <c r="A14" s="95" t="s">
        <v>256</v>
      </c>
      <c r="B14" s="95" t="s">
        <v>406</v>
      </c>
      <c r="C14" s="95" t="s">
        <v>48</v>
      </c>
      <c r="D14" s="95" t="s">
        <v>47</v>
      </c>
      <c r="E14" s="95" t="s">
        <v>410</v>
      </c>
      <c r="F14" s="94"/>
      <c r="G14" s="94">
        <v>9000</v>
      </c>
    </row>
    <row r="15" spans="1:10" x14ac:dyDescent="0.6">
      <c r="A15" s="95" t="s">
        <v>256</v>
      </c>
      <c r="B15" s="95" t="s">
        <v>406</v>
      </c>
      <c r="C15" s="95" t="s">
        <v>48</v>
      </c>
      <c r="D15" s="95" t="s">
        <v>47</v>
      </c>
      <c r="E15" s="95" t="s">
        <v>410</v>
      </c>
      <c r="F15" s="94"/>
      <c r="G15" s="94">
        <v>9000</v>
      </c>
    </row>
    <row r="16" spans="1:10" x14ac:dyDescent="0.6">
      <c r="A16" s="95" t="s">
        <v>256</v>
      </c>
      <c r="B16" s="95" t="s">
        <v>406</v>
      </c>
      <c r="C16" s="95" t="s">
        <v>49</v>
      </c>
      <c r="D16" s="95" t="s">
        <v>47</v>
      </c>
      <c r="E16" s="95" t="s">
        <v>410</v>
      </c>
      <c r="F16" s="94"/>
      <c r="G16" s="94">
        <v>9000</v>
      </c>
    </row>
    <row r="17" spans="1:7" x14ac:dyDescent="0.6">
      <c r="A17" s="95" t="s">
        <v>256</v>
      </c>
      <c r="B17" s="95" t="s">
        <v>407</v>
      </c>
      <c r="C17" s="95" t="s">
        <v>408</v>
      </c>
      <c r="D17" s="95" t="s">
        <v>47</v>
      </c>
      <c r="E17" s="95" t="s">
        <v>410</v>
      </c>
      <c r="F17" s="94"/>
      <c r="G17" s="94">
        <v>9000</v>
      </c>
    </row>
    <row r="18" spans="1:7" x14ac:dyDescent="0.6">
      <c r="A18" s="95" t="s">
        <v>256</v>
      </c>
      <c r="B18" s="95" t="s">
        <v>407</v>
      </c>
      <c r="C18" s="95" t="s">
        <v>408</v>
      </c>
      <c r="D18" s="95" t="s">
        <v>47</v>
      </c>
      <c r="E18" s="95" t="s">
        <v>410</v>
      </c>
      <c r="F18" s="98"/>
      <c r="G18" s="94">
        <v>7000</v>
      </c>
    </row>
    <row r="19" spans="1:7" x14ac:dyDescent="0.6">
      <c r="A19" s="95" t="s">
        <v>256</v>
      </c>
      <c r="B19" s="95" t="s">
        <v>407</v>
      </c>
      <c r="C19" s="95" t="s">
        <v>408</v>
      </c>
      <c r="D19" s="95" t="s">
        <v>47</v>
      </c>
      <c r="E19" s="95" t="s">
        <v>410</v>
      </c>
      <c r="F19" s="94"/>
      <c r="G19" s="94">
        <v>9000</v>
      </c>
    </row>
    <row r="20" spans="1:7" x14ac:dyDescent="0.6">
      <c r="A20" s="95" t="s">
        <v>256</v>
      </c>
      <c r="B20" s="95" t="s">
        <v>407</v>
      </c>
      <c r="C20" s="95" t="s">
        <v>408</v>
      </c>
      <c r="D20" s="95" t="s">
        <v>47</v>
      </c>
      <c r="E20" s="95" t="s">
        <v>410</v>
      </c>
      <c r="F20" s="94"/>
      <c r="G20" s="94">
        <v>9000</v>
      </c>
    </row>
    <row r="21" spans="1:7" x14ac:dyDescent="0.6">
      <c r="A21" s="95" t="s">
        <v>256</v>
      </c>
      <c r="B21" s="95" t="s">
        <v>407</v>
      </c>
      <c r="C21" s="95" t="s">
        <v>408</v>
      </c>
      <c r="D21" s="95" t="s">
        <v>68</v>
      </c>
      <c r="E21" s="95" t="s">
        <v>411</v>
      </c>
      <c r="F21" s="94"/>
      <c r="G21" s="94">
        <v>5945</v>
      </c>
    </row>
    <row r="22" spans="1:7" x14ac:dyDescent="0.6">
      <c r="A22" s="159" t="s">
        <v>256</v>
      </c>
      <c r="B22" s="159" t="s">
        <v>407</v>
      </c>
      <c r="C22" s="159" t="s">
        <v>408</v>
      </c>
      <c r="D22" s="159" t="s">
        <v>68</v>
      </c>
      <c r="E22" s="159" t="s">
        <v>409</v>
      </c>
      <c r="F22" s="245"/>
      <c r="G22" s="245">
        <v>12000</v>
      </c>
    </row>
    <row r="23" spans="1:7" x14ac:dyDescent="0.6">
      <c r="A23" s="352" t="s">
        <v>5</v>
      </c>
      <c r="B23" s="353"/>
      <c r="C23" s="353"/>
      <c r="D23" s="353"/>
      <c r="E23" s="353"/>
      <c r="F23" s="354"/>
      <c r="G23" s="86">
        <f>SUM(G6:G22)</f>
        <v>191095</v>
      </c>
    </row>
  </sheetData>
  <mergeCells count="4">
    <mergeCell ref="A1:G1"/>
    <mergeCell ref="A2:G2"/>
    <mergeCell ref="A3:G3"/>
    <mergeCell ref="A23:F23"/>
  </mergeCells>
  <pageMargins left="0.31" right="0.26" top="0.17" bottom="0.24" header="0.24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0" zoomScaleNormal="80" workbookViewId="0">
      <selection activeCell="E13" sqref="E13"/>
    </sheetView>
  </sheetViews>
  <sheetFormatPr defaultRowHeight="24.75" x14ac:dyDescent="0.6"/>
  <cols>
    <col min="1" max="1" width="29.5703125" style="40" bestFit="1" customWidth="1"/>
    <col min="2" max="2" width="17.28515625" style="40" customWidth="1"/>
    <col min="3" max="3" width="24.7109375" style="101" customWidth="1"/>
    <col min="4" max="4" width="17.28515625" style="40" customWidth="1"/>
    <col min="5" max="5" width="41.140625" style="40" customWidth="1"/>
    <col min="6" max="6" width="16" style="45" bestFit="1" customWidth="1"/>
    <col min="7" max="7" width="16.140625" style="40" customWidth="1"/>
    <col min="8" max="8" width="17.28515625" style="45" customWidth="1"/>
    <col min="9" max="9" width="17" style="40" bestFit="1" customWidth="1"/>
    <col min="10" max="16384" width="9.140625" style="40"/>
  </cols>
  <sheetData>
    <row r="1" spans="1:9" ht="27.75" x14ac:dyDescent="0.65">
      <c r="A1" s="338" t="s">
        <v>0</v>
      </c>
      <c r="B1" s="338"/>
      <c r="C1" s="338"/>
      <c r="D1" s="338"/>
      <c r="E1" s="338"/>
      <c r="F1" s="338"/>
      <c r="G1" s="39"/>
      <c r="H1" s="39"/>
    </row>
    <row r="2" spans="1:9" ht="27.75" x14ac:dyDescent="0.65">
      <c r="A2" s="338" t="s">
        <v>215</v>
      </c>
      <c r="B2" s="338"/>
      <c r="C2" s="338"/>
      <c r="D2" s="338"/>
      <c r="E2" s="338"/>
      <c r="F2" s="338"/>
      <c r="G2" s="39"/>
      <c r="H2" s="39"/>
    </row>
    <row r="3" spans="1:9" ht="27.75" x14ac:dyDescent="0.65">
      <c r="A3" s="339" t="s">
        <v>351</v>
      </c>
      <c r="B3" s="339"/>
      <c r="C3" s="339"/>
      <c r="D3" s="339"/>
      <c r="E3" s="339"/>
      <c r="F3" s="339"/>
      <c r="G3" s="41"/>
      <c r="H3" s="41"/>
    </row>
    <row r="4" spans="1:9" x14ac:dyDescent="0.6">
      <c r="A4" s="42" t="s">
        <v>236</v>
      </c>
      <c r="F4" s="50"/>
      <c r="G4" s="44"/>
      <c r="H4" s="50"/>
    </row>
    <row r="5" spans="1:9" x14ac:dyDescent="0.6">
      <c r="A5" s="85" t="s">
        <v>237</v>
      </c>
      <c r="B5" s="85" t="s">
        <v>231</v>
      </c>
      <c r="C5" s="85" t="s">
        <v>232</v>
      </c>
      <c r="D5" s="85" t="s">
        <v>233</v>
      </c>
      <c r="E5" s="85" t="s">
        <v>234</v>
      </c>
      <c r="F5" s="86" t="s">
        <v>4</v>
      </c>
      <c r="G5" s="44"/>
      <c r="H5" s="50"/>
    </row>
    <row r="6" spans="1:9" x14ac:dyDescent="0.6">
      <c r="A6" s="111"/>
      <c r="B6" s="301"/>
      <c r="C6" s="301"/>
      <c r="D6" s="301"/>
      <c r="E6" s="300"/>
      <c r="F6" s="89"/>
      <c r="G6" s="54">
        <f>F6-'[1]6.'!$F$8</f>
        <v>-6000</v>
      </c>
      <c r="H6" s="50"/>
    </row>
    <row r="7" spans="1:9" x14ac:dyDescent="0.6">
      <c r="A7" s="112"/>
      <c r="B7" s="114"/>
      <c r="C7" s="114"/>
      <c r="D7" s="311"/>
      <c r="E7" s="312"/>
      <c r="F7" s="94"/>
      <c r="G7" s="54">
        <f>F7-'[1]6.'!$F$9</f>
        <v>-4372.5</v>
      </c>
      <c r="H7" s="50"/>
    </row>
    <row r="8" spans="1:9" x14ac:dyDescent="0.6">
      <c r="A8" s="112"/>
      <c r="B8" s="114"/>
      <c r="C8" s="114"/>
      <c r="D8" s="311"/>
      <c r="E8" s="312"/>
      <c r="F8" s="94"/>
      <c r="G8" s="50">
        <f>F8-'[1]6.'!$F$10</f>
        <v>-6000</v>
      </c>
      <c r="H8" s="50"/>
    </row>
    <row r="9" spans="1:9" x14ac:dyDescent="0.6">
      <c r="A9" s="112"/>
      <c r="B9" s="114"/>
      <c r="C9" s="114"/>
      <c r="D9" s="311"/>
      <c r="E9" s="312"/>
      <c r="F9" s="94"/>
      <c r="G9" s="54">
        <f>F9-'[1]6.'!$F$11</f>
        <v>-6000</v>
      </c>
      <c r="H9" s="50"/>
    </row>
    <row r="10" spans="1:9" x14ac:dyDescent="0.6">
      <c r="A10" s="112"/>
      <c r="B10" s="114"/>
      <c r="C10" s="114"/>
      <c r="D10" s="311"/>
      <c r="E10" s="312"/>
      <c r="F10" s="94"/>
      <c r="G10" s="50">
        <f>F10-'[1]6.'!$F$12</f>
        <v>-610</v>
      </c>
      <c r="H10" s="50"/>
    </row>
    <row r="11" spans="1:9" x14ac:dyDescent="0.6">
      <c r="A11" s="112"/>
      <c r="B11" s="311"/>
      <c r="C11" s="311"/>
      <c r="D11" s="311"/>
      <c r="E11" s="312"/>
      <c r="F11" s="94"/>
      <c r="G11" s="50">
        <f>F11-'[1]6.'!$F$13</f>
        <v>-7300</v>
      </c>
      <c r="H11" s="50"/>
    </row>
    <row r="12" spans="1:9" x14ac:dyDescent="0.6">
      <c r="A12" s="112"/>
      <c r="B12" s="311"/>
      <c r="C12" s="311"/>
      <c r="D12" s="311"/>
      <c r="E12" s="312"/>
      <c r="F12" s="94"/>
      <c r="G12" s="50">
        <f>F12-'[1]6.'!$F$14</f>
        <v>-6000</v>
      </c>
      <c r="H12" s="50"/>
    </row>
    <row r="13" spans="1:9" x14ac:dyDescent="0.6">
      <c r="A13" s="112"/>
      <c r="B13" s="311"/>
      <c r="C13" s="311"/>
      <c r="D13" s="311"/>
      <c r="E13" s="312"/>
      <c r="F13" s="94"/>
      <c r="G13" s="50">
        <f>F13-'[1]6.'!$F$15</f>
        <v>-9000</v>
      </c>
      <c r="H13" s="50"/>
      <c r="I13" s="48">
        <f>SUM(H8:H13)</f>
        <v>0</v>
      </c>
    </row>
    <row r="14" spans="1:9" x14ac:dyDescent="0.6">
      <c r="A14" s="112"/>
      <c r="B14" s="311"/>
      <c r="C14" s="311"/>
      <c r="D14" s="114"/>
      <c r="E14" s="115"/>
      <c r="F14" s="94"/>
      <c r="G14" s="54">
        <f>F14-'[1]6.'!$F$16</f>
        <v>-6000</v>
      </c>
      <c r="H14" s="50"/>
    </row>
    <row r="15" spans="1:9" x14ac:dyDescent="0.6">
      <c r="A15" s="112"/>
      <c r="B15" s="114"/>
      <c r="C15" s="114"/>
      <c r="D15" s="311"/>
      <c r="E15" s="115"/>
      <c r="F15" s="94"/>
      <c r="G15" s="48">
        <f>F15-'[1]6.'!$F$17</f>
        <v>-13317.92</v>
      </c>
    </row>
    <row r="16" spans="1:9" x14ac:dyDescent="0.6">
      <c r="A16" s="112"/>
      <c r="B16" s="114"/>
      <c r="C16" s="114"/>
      <c r="D16" s="311"/>
      <c r="E16" s="115"/>
      <c r="F16" s="94"/>
      <c r="G16" s="48">
        <f>F16-'[1]6.'!$F$18</f>
        <v>-2700</v>
      </c>
    </row>
    <row r="17" spans="1:7" x14ac:dyDescent="0.6">
      <c r="A17" s="112"/>
      <c r="B17" s="114"/>
      <c r="C17" s="114"/>
      <c r="D17" s="311"/>
      <c r="E17" s="115"/>
      <c r="F17" s="94"/>
      <c r="G17" s="48">
        <f>F17-'[1]6.'!$F$19</f>
        <v>-6000</v>
      </c>
    </row>
    <row r="18" spans="1:7" x14ac:dyDescent="0.6">
      <c r="A18" s="112"/>
      <c r="B18" s="114"/>
      <c r="C18" s="114"/>
      <c r="D18" s="311"/>
      <c r="E18" s="115"/>
      <c r="F18" s="94"/>
      <c r="G18" s="48">
        <f>F18-'[1]6.'!$F$20</f>
        <v>-6000</v>
      </c>
    </row>
    <row r="19" spans="1:7" x14ac:dyDescent="0.6">
      <c r="A19" s="112"/>
      <c r="B19" s="114"/>
      <c r="C19" s="114"/>
      <c r="D19" s="114"/>
      <c r="E19" s="115"/>
      <c r="F19" s="94"/>
      <c r="G19" s="48">
        <f>F19-'[1]6.'!$F$23</f>
        <v>-6000</v>
      </c>
    </row>
    <row r="20" spans="1:7" x14ac:dyDescent="0.6">
      <c r="A20" s="350" t="s">
        <v>5</v>
      </c>
      <c r="B20" s="355"/>
      <c r="C20" s="355"/>
      <c r="D20" s="355"/>
      <c r="E20" s="355"/>
      <c r="F20" s="99">
        <f>SUM(F6:F19)</f>
        <v>0</v>
      </c>
      <c r="G20" s="48">
        <f>F20-'[1]6.'!$F$26</f>
        <v>-148300.41999999998</v>
      </c>
    </row>
  </sheetData>
  <mergeCells count="4">
    <mergeCell ref="A1:F1"/>
    <mergeCell ref="A2:F2"/>
    <mergeCell ref="A3:F3"/>
    <mergeCell ref="A20:E20"/>
  </mergeCells>
  <pageMargins left="0.59055118110236227" right="0.27559055118110237" top="0.52" bottom="0.51181102362204722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6" zoomScaleNormal="100" workbookViewId="0">
      <selection activeCell="H16" sqref="H16"/>
    </sheetView>
  </sheetViews>
  <sheetFormatPr defaultRowHeight="24.75" x14ac:dyDescent="0.6"/>
  <cols>
    <col min="1" max="1" width="4.42578125" style="40" customWidth="1"/>
    <col min="2" max="9" width="9.140625" style="40"/>
    <col min="10" max="10" width="15" style="40" customWidth="1"/>
    <col min="11" max="11" width="14.5703125" style="45" bestFit="1" customWidth="1"/>
    <col min="12" max="16384" width="9.140625" style="40"/>
  </cols>
  <sheetData>
    <row r="1" spans="1:10" ht="27.75" x14ac:dyDescent="0.6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27.75" x14ac:dyDescent="0.65">
      <c r="A2" s="338" t="s">
        <v>215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ht="27.75" x14ac:dyDescent="0.65">
      <c r="A3" s="339" t="s">
        <v>439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0" x14ac:dyDescent="0.6">
      <c r="A4" s="42" t="s">
        <v>238</v>
      </c>
      <c r="C4" s="43"/>
      <c r="F4" s="44"/>
    </row>
    <row r="5" spans="1:10" x14ac:dyDescent="0.6">
      <c r="B5" s="81" t="s">
        <v>30</v>
      </c>
      <c r="C5" s="81"/>
      <c r="D5" s="58"/>
      <c r="E5" s="58"/>
      <c r="F5" s="58"/>
      <c r="G5" s="58"/>
      <c r="H5" s="58"/>
      <c r="I5" s="58"/>
      <c r="J5" s="116">
        <f>[4]ก.ย.!$E$6</f>
        <v>9459.0300000000007</v>
      </c>
    </row>
    <row r="6" spans="1:10" x14ac:dyDescent="0.6">
      <c r="B6" s="81" t="s">
        <v>31</v>
      </c>
      <c r="C6" s="81"/>
      <c r="D6" s="58"/>
      <c r="E6" s="58"/>
      <c r="F6" s="58"/>
      <c r="G6" s="58"/>
      <c r="H6" s="58"/>
      <c r="I6" s="58"/>
      <c r="J6" s="116">
        <f>[4]ก.ย.!$E$7</f>
        <v>24359.200000000008</v>
      </c>
    </row>
    <row r="7" spans="1:10" x14ac:dyDescent="0.6">
      <c r="B7" s="81" t="s">
        <v>32</v>
      </c>
      <c r="C7" s="81"/>
      <c r="D7" s="58"/>
      <c r="E7" s="58"/>
      <c r="F7" s="58"/>
      <c r="G7" s="58"/>
      <c r="H7" s="58"/>
      <c r="I7" s="58"/>
      <c r="J7" s="116">
        <f>[4]ก.ย.!$E$8</f>
        <v>309566.5</v>
      </c>
    </row>
    <row r="8" spans="1:10" x14ac:dyDescent="0.6">
      <c r="B8" s="81" t="s">
        <v>33</v>
      </c>
      <c r="C8" s="81"/>
      <c r="D8" s="58"/>
      <c r="E8" s="58"/>
      <c r="F8" s="58"/>
      <c r="G8" s="58"/>
      <c r="H8" s="58"/>
      <c r="I8" s="58"/>
      <c r="J8" s="116">
        <f>[4]ก.ย.!$E$9</f>
        <v>383.34</v>
      </c>
    </row>
    <row r="9" spans="1:10" x14ac:dyDescent="0.6">
      <c r="B9" s="81" t="s">
        <v>286</v>
      </c>
      <c r="C9" s="81"/>
      <c r="D9" s="58"/>
      <c r="E9" s="58"/>
      <c r="F9" s="58"/>
      <c r="G9" s="58"/>
      <c r="H9" s="58"/>
      <c r="I9" s="58"/>
      <c r="J9" s="116">
        <f>[4]ก.ย.!$E$10</f>
        <v>0</v>
      </c>
    </row>
    <row r="10" spans="1:10" ht="24.75" customHeight="1" x14ac:dyDescent="0.6">
      <c r="B10" s="356" t="s">
        <v>356</v>
      </c>
      <c r="C10" s="356"/>
      <c r="D10" s="356"/>
      <c r="E10" s="356"/>
      <c r="F10" s="356"/>
      <c r="G10" s="356"/>
      <c r="H10" s="356"/>
      <c r="I10" s="58"/>
      <c r="J10" s="116">
        <f>[4]ก.ย.!$E$11</f>
        <v>0</v>
      </c>
    </row>
    <row r="11" spans="1:10" x14ac:dyDescent="0.6">
      <c r="B11" s="320" t="s">
        <v>357</v>
      </c>
      <c r="C11" s="320"/>
      <c r="D11" s="58"/>
      <c r="E11" s="58"/>
      <c r="F11" s="58"/>
      <c r="G11" s="58"/>
      <c r="H11" s="58"/>
      <c r="I11" s="58"/>
      <c r="J11" s="116">
        <f>[4]ก.ย.!$E$12</f>
        <v>17.5</v>
      </c>
    </row>
    <row r="12" spans="1:10" x14ac:dyDescent="0.6">
      <c r="B12" s="317" t="s">
        <v>358</v>
      </c>
      <c r="C12" s="317"/>
      <c r="D12" s="58"/>
      <c r="E12" s="58"/>
      <c r="F12" s="58"/>
      <c r="G12" s="58"/>
      <c r="H12" s="58"/>
      <c r="I12" s="58"/>
      <c r="J12" s="116">
        <f>[4]ก.ย.!$E$13</f>
        <v>500</v>
      </c>
    </row>
    <row r="13" spans="1:10" x14ac:dyDescent="0.6">
      <c r="B13" s="318" t="s">
        <v>359</v>
      </c>
      <c r="C13" s="319"/>
      <c r="D13" s="58"/>
      <c r="E13" s="58"/>
      <c r="F13" s="58"/>
      <c r="G13" s="58"/>
      <c r="H13" s="58"/>
      <c r="I13" s="58"/>
      <c r="J13" s="116">
        <f>[4]ก.ย.!$E$14</f>
        <v>58506</v>
      </c>
    </row>
    <row r="14" spans="1:10" ht="24.75" customHeight="1" x14ac:dyDescent="0.6">
      <c r="B14" s="318" t="s">
        <v>176</v>
      </c>
      <c r="C14" s="319"/>
      <c r="D14" s="58"/>
      <c r="E14" s="58"/>
      <c r="F14" s="58"/>
      <c r="G14" s="58"/>
      <c r="H14" s="58"/>
      <c r="I14" s="58"/>
      <c r="J14" s="116">
        <f>[4]ก.ย.!$E$15</f>
        <v>0</v>
      </c>
    </row>
    <row r="15" spans="1:10" ht="24.75" customHeight="1" x14ac:dyDescent="0.6">
      <c r="B15" s="318" t="s">
        <v>177</v>
      </c>
      <c r="C15" s="319"/>
      <c r="D15" s="58"/>
      <c r="E15" s="58"/>
      <c r="F15" s="58"/>
      <c r="G15" s="58"/>
      <c r="H15" s="58"/>
      <c r="I15" s="58"/>
      <c r="J15" s="116">
        <f>[4]ก.ย.!$E$16</f>
        <v>0</v>
      </c>
    </row>
    <row r="16" spans="1:10" ht="24.75" customHeight="1" x14ac:dyDescent="0.6">
      <c r="B16" s="318" t="s">
        <v>178</v>
      </c>
      <c r="C16" s="319"/>
      <c r="D16" s="58"/>
      <c r="E16" s="58"/>
      <c r="F16" s="58"/>
      <c r="G16" s="58"/>
      <c r="H16" s="58"/>
      <c r="I16" s="58"/>
      <c r="J16" s="116">
        <f>[4]ก.ย.!$E$17</f>
        <v>30000</v>
      </c>
    </row>
    <row r="17" spans="1:11" ht="24.75" customHeight="1" x14ac:dyDescent="0.6">
      <c r="B17" s="81" t="s">
        <v>287</v>
      </c>
      <c r="C17" s="81"/>
      <c r="D17" s="58"/>
      <c r="E17" s="58"/>
      <c r="F17" s="58"/>
      <c r="G17" s="58"/>
      <c r="H17" s="58"/>
      <c r="I17" s="58"/>
      <c r="J17" s="116">
        <f>[4]ก.ย.!$E$18</f>
        <v>4.3653969328261155E-13</v>
      </c>
    </row>
    <row r="18" spans="1:11" x14ac:dyDescent="0.6">
      <c r="B18" s="81" t="s">
        <v>360</v>
      </c>
      <c r="C18" s="81"/>
      <c r="D18" s="58"/>
      <c r="E18" s="58"/>
      <c r="F18" s="58"/>
      <c r="G18" s="58"/>
      <c r="H18" s="58"/>
      <c r="I18" s="58"/>
      <c r="J18" s="116">
        <f>[4]ก.ย.!$E$19</f>
        <v>1400</v>
      </c>
    </row>
    <row r="19" spans="1:11" x14ac:dyDescent="0.6">
      <c r="B19" s="81" t="s">
        <v>401</v>
      </c>
      <c r="C19" s="81"/>
      <c r="D19" s="58"/>
      <c r="E19" s="58"/>
      <c r="F19" s="58"/>
      <c r="G19" s="58"/>
      <c r="H19" s="58"/>
      <c r="I19" s="58"/>
      <c r="J19" s="116">
        <v>20956</v>
      </c>
    </row>
    <row r="20" spans="1:11" ht="25.5" thickBot="1" x14ac:dyDescent="0.65">
      <c r="A20" s="44"/>
      <c r="B20" s="44" t="s">
        <v>5</v>
      </c>
      <c r="C20" s="44"/>
      <c r="D20" s="44"/>
      <c r="E20" s="44"/>
      <c r="F20" s="44"/>
      <c r="G20" s="44"/>
      <c r="H20" s="44"/>
      <c r="I20" s="44"/>
      <c r="J20" s="53">
        <f>SUM(J5:J19)</f>
        <v>455147.57</v>
      </c>
      <c r="K20" s="45">
        <f>J20-กระดาษทำการ!J25</f>
        <v>0</v>
      </c>
    </row>
    <row r="21" spans="1:11" ht="25.5" thickTop="1" x14ac:dyDescent="0.6">
      <c r="A21" s="44"/>
      <c r="B21" s="44"/>
      <c r="C21" s="44"/>
      <c r="D21" s="44"/>
      <c r="E21" s="44"/>
      <c r="F21" s="44"/>
      <c r="G21" s="44"/>
      <c r="H21" s="44"/>
      <c r="I21" s="44"/>
      <c r="J21" s="54"/>
    </row>
    <row r="22" spans="1:11" x14ac:dyDescent="0.6">
      <c r="A22" s="42" t="s">
        <v>350</v>
      </c>
    </row>
    <row r="23" spans="1:11" x14ac:dyDescent="0.6">
      <c r="B23" s="44" t="s">
        <v>349</v>
      </c>
      <c r="J23" s="45">
        <v>51700</v>
      </c>
    </row>
    <row r="24" spans="1:11" ht="25.5" thickBot="1" x14ac:dyDescent="0.65">
      <c r="B24" s="44" t="s">
        <v>5</v>
      </c>
      <c r="J24" s="63">
        <f>SUM(J23)</f>
        <v>51700</v>
      </c>
    </row>
    <row r="25" spans="1:11" ht="25.5" thickTop="1" x14ac:dyDescent="0.6"/>
  </sheetData>
  <mergeCells count="4">
    <mergeCell ref="A1:J1"/>
    <mergeCell ref="A2:J2"/>
    <mergeCell ref="A3:J3"/>
    <mergeCell ref="B10:H10"/>
  </mergeCells>
  <pageMargins left="0.87" right="0.28000000000000003" top="0.9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9" workbookViewId="0">
      <selection activeCell="I7" sqref="I7"/>
    </sheetView>
  </sheetViews>
  <sheetFormatPr defaultRowHeight="24.75" x14ac:dyDescent="0.6"/>
  <cols>
    <col min="1" max="1" width="4.85546875" style="40" customWidth="1"/>
    <col min="2" max="2" width="4.5703125" style="40" customWidth="1"/>
    <col min="3" max="6" width="9.140625" style="40"/>
    <col min="7" max="7" width="18.42578125" style="40" customWidth="1"/>
    <col min="8" max="8" width="18" style="40" customWidth="1"/>
    <col min="9" max="9" width="17.5703125" style="40" bestFit="1" customWidth="1"/>
    <col min="10" max="10" width="25.42578125" style="40" bestFit="1" customWidth="1"/>
    <col min="11" max="11" width="12.85546875" style="40" customWidth="1"/>
    <col min="12" max="12" width="15.140625" style="40" bestFit="1" customWidth="1"/>
    <col min="13" max="13" width="17" style="40" bestFit="1" customWidth="1"/>
    <col min="14" max="16384" width="9.140625" style="40"/>
  </cols>
  <sheetData>
    <row r="1" spans="1:10" ht="27.75" x14ac:dyDescent="0.6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9"/>
    </row>
    <row r="2" spans="1:10" ht="27.75" x14ac:dyDescent="0.65">
      <c r="A2" s="338" t="s">
        <v>215</v>
      </c>
      <c r="B2" s="338"/>
      <c r="C2" s="338"/>
      <c r="D2" s="338"/>
      <c r="E2" s="338"/>
      <c r="F2" s="338"/>
      <c r="G2" s="338"/>
      <c r="H2" s="338"/>
      <c r="I2" s="338"/>
      <c r="J2" s="39"/>
    </row>
    <row r="3" spans="1:10" ht="27.75" x14ac:dyDescent="0.65">
      <c r="A3" s="339" t="s">
        <v>351</v>
      </c>
      <c r="B3" s="339"/>
      <c r="C3" s="339"/>
      <c r="D3" s="339"/>
      <c r="E3" s="339"/>
      <c r="F3" s="339"/>
      <c r="G3" s="339"/>
      <c r="H3" s="339"/>
      <c r="I3" s="339"/>
      <c r="J3" s="41"/>
    </row>
    <row r="4" spans="1:10" x14ac:dyDescent="0.6">
      <c r="A4" s="42" t="s">
        <v>239</v>
      </c>
      <c r="C4" s="43"/>
      <c r="F4" s="44"/>
    </row>
    <row r="5" spans="1:10" ht="12.75" customHeight="1" x14ac:dyDescent="0.6"/>
    <row r="6" spans="1:10" x14ac:dyDescent="0.6">
      <c r="A6" s="42" t="s">
        <v>355</v>
      </c>
      <c r="I6" s="45">
        <v>4033175</v>
      </c>
    </row>
    <row r="7" spans="1:10" x14ac:dyDescent="0.6">
      <c r="A7" s="46"/>
      <c r="B7" s="40" t="s">
        <v>42</v>
      </c>
      <c r="G7" s="45">
        <f>จ่ายจากเงินรายรับ!D44</f>
        <v>2364709.370000001</v>
      </c>
      <c r="I7" s="45"/>
      <c r="J7" s="48">
        <f>G7-[5]ปิดบัญชี!$F$57</f>
        <v>2011824.9899999984</v>
      </c>
    </row>
    <row r="8" spans="1:10" x14ac:dyDescent="0.6">
      <c r="A8" s="46"/>
      <c r="B8" s="46" t="s">
        <v>240</v>
      </c>
      <c r="C8" s="40" t="s">
        <v>114</v>
      </c>
      <c r="I8" s="45"/>
    </row>
    <row r="9" spans="1:10" x14ac:dyDescent="0.6">
      <c r="A9" s="46"/>
      <c r="C9" s="40" t="s">
        <v>241</v>
      </c>
      <c r="G9" s="47">
        <f>J12</f>
        <v>591177.34250000026</v>
      </c>
      <c r="I9" s="45"/>
    </row>
    <row r="10" spans="1:10" x14ac:dyDescent="0.6">
      <c r="A10" s="42" t="s">
        <v>41</v>
      </c>
      <c r="B10" s="40" t="s">
        <v>242</v>
      </c>
      <c r="G10" s="45"/>
      <c r="H10" s="48">
        <f>G7-G9</f>
        <v>1773532.0275000008</v>
      </c>
      <c r="I10" s="45"/>
    </row>
    <row r="11" spans="1:10" x14ac:dyDescent="0.6">
      <c r="A11" s="46"/>
      <c r="B11" s="40" t="s">
        <v>34</v>
      </c>
      <c r="H11" s="45">
        <f>34100</f>
        <v>34100</v>
      </c>
      <c r="I11" s="45"/>
      <c r="J11" s="48">
        <f>G7*75/100</f>
        <v>1773532.0275000008</v>
      </c>
    </row>
    <row r="12" spans="1:10" x14ac:dyDescent="0.6">
      <c r="A12" s="46"/>
      <c r="B12" s="40" t="s">
        <v>394</v>
      </c>
      <c r="H12" s="49">
        <v>4518.46</v>
      </c>
      <c r="I12" s="45"/>
      <c r="J12" s="48">
        <f>G7-J11</f>
        <v>591177.34250000026</v>
      </c>
    </row>
    <row r="13" spans="1:10" x14ac:dyDescent="0.6">
      <c r="A13" s="46"/>
      <c r="B13" s="40" t="s">
        <v>361</v>
      </c>
      <c r="H13" s="49">
        <v>45188.9</v>
      </c>
      <c r="I13" s="45"/>
      <c r="J13" s="48"/>
    </row>
    <row r="14" spans="1:10" x14ac:dyDescent="0.6">
      <c r="A14" s="46"/>
      <c r="B14" s="40" t="s">
        <v>393</v>
      </c>
      <c r="H14" s="49">
        <v>1.27</v>
      </c>
      <c r="I14" s="47">
        <f>SUM(H10:H14)</f>
        <v>1857340.6575000007</v>
      </c>
      <c r="J14" s="48"/>
    </row>
    <row r="15" spans="1:10" x14ac:dyDescent="0.6">
      <c r="A15" s="42" t="s">
        <v>240</v>
      </c>
      <c r="B15" s="40" t="s">
        <v>43</v>
      </c>
      <c r="H15" s="45">
        <f>จ่ายจากเงินสะสม!L17</f>
        <v>0</v>
      </c>
      <c r="I15" s="336"/>
    </row>
    <row r="16" spans="1:10" x14ac:dyDescent="0.6">
      <c r="A16" s="42"/>
      <c r="B16" s="40" t="s">
        <v>395</v>
      </c>
      <c r="H16" s="45">
        <v>780.9</v>
      </c>
      <c r="I16" s="50"/>
    </row>
    <row r="17" spans="1:11" x14ac:dyDescent="0.6">
      <c r="A17" s="42"/>
      <c r="B17" s="40" t="s">
        <v>396</v>
      </c>
      <c r="H17" s="45">
        <v>45188.9</v>
      </c>
      <c r="I17" s="47">
        <f>SUM(H16:H17)</f>
        <v>45969.8</v>
      </c>
    </row>
    <row r="18" spans="1:11" ht="25.5" thickBot="1" x14ac:dyDescent="0.65">
      <c r="A18" s="42" t="s">
        <v>398</v>
      </c>
      <c r="G18" s="50"/>
      <c r="I18" s="48">
        <f>I6+I14-I17</f>
        <v>5844545.8575000009</v>
      </c>
      <c r="J18" s="51">
        <f>I18-กระดาษทำการ!J26</f>
        <v>0</v>
      </c>
    </row>
    <row r="19" spans="1:11" ht="25.5" thickTop="1" x14ac:dyDescent="0.6">
      <c r="I19" s="52"/>
    </row>
    <row r="20" spans="1:11" x14ac:dyDescent="0.6">
      <c r="A20" s="42" t="s">
        <v>400</v>
      </c>
      <c r="K20" s="48"/>
    </row>
    <row r="21" spans="1:11" x14ac:dyDescent="0.6">
      <c r="B21" s="40" t="s">
        <v>243</v>
      </c>
      <c r="I21" s="45">
        <v>0</v>
      </c>
    </row>
    <row r="22" spans="1:11" x14ac:dyDescent="0.6">
      <c r="B22" s="40" t="s">
        <v>244</v>
      </c>
      <c r="I22" s="45">
        <f>กระดาษทำการ!I20</f>
        <v>1057501.3600000001</v>
      </c>
    </row>
    <row r="23" spans="1:11" x14ac:dyDescent="0.6">
      <c r="B23" s="40" t="s">
        <v>245</v>
      </c>
      <c r="I23" s="285">
        <f>กระดาษทำการ!I15</f>
        <v>2199.25</v>
      </c>
    </row>
    <row r="24" spans="1:11" x14ac:dyDescent="0.6">
      <c r="B24" s="40" t="s">
        <v>334</v>
      </c>
      <c r="I24" s="45">
        <v>0</v>
      </c>
      <c r="J24" s="48"/>
    </row>
    <row r="25" spans="1:11" x14ac:dyDescent="0.6">
      <c r="B25" s="40" t="s">
        <v>246</v>
      </c>
      <c r="I25" s="50">
        <f>I18-J25</f>
        <v>4784845.2475000005</v>
      </c>
      <c r="J25" s="48">
        <f>SUM(I21:I24)</f>
        <v>1059700.6100000001</v>
      </c>
    </row>
    <row r="26" spans="1:11" ht="25.5" thickBot="1" x14ac:dyDescent="0.65">
      <c r="I26" s="53">
        <f>SUM(I21:I25)</f>
        <v>5844545.8575000009</v>
      </c>
      <c r="J26" s="48"/>
    </row>
    <row r="27" spans="1:11" ht="25.5" thickTop="1" x14ac:dyDescent="0.6">
      <c r="A27" s="40" t="s">
        <v>413</v>
      </c>
      <c r="I27" s="54"/>
    </row>
    <row r="28" spans="1:11" x14ac:dyDescent="0.6">
      <c r="A28" s="55" t="s">
        <v>443</v>
      </c>
      <c r="I28" s="54"/>
    </row>
    <row r="29" spans="1:11" x14ac:dyDescent="0.6">
      <c r="J29" s="48">
        <f>I22+D45</f>
        <v>1234854.56275</v>
      </c>
    </row>
    <row r="30" spans="1:11" x14ac:dyDescent="0.6">
      <c r="J30" s="48">
        <f>I25-J29</f>
        <v>3549990.6847500005</v>
      </c>
    </row>
    <row r="34" spans="1:10" x14ac:dyDescent="0.6">
      <c r="A34" s="358" t="s">
        <v>397</v>
      </c>
      <c r="B34" s="358"/>
      <c r="C34" s="358"/>
      <c r="D34" s="358"/>
      <c r="E34" s="358"/>
      <c r="F34" s="358"/>
      <c r="G34" s="358"/>
      <c r="H34" s="358"/>
      <c r="I34" s="358"/>
    </row>
    <row r="35" spans="1:10" x14ac:dyDescent="0.6">
      <c r="A35" s="358" t="s">
        <v>161</v>
      </c>
      <c r="B35" s="358"/>
      <c r="C35" s="358"/>
      <c r="D35" s="358"/>
      <c r="E35" s="358"/>
      <c r="F35" s="358"/>
      <c r="G35" s="358"/>
      <c r="H35" s="358"/>
      <c r="I35" s="358"/>
    </row>
    <row r="36" spans="1:10" x14ac:dyDescent="0.6">
      <c r="A36" s="56" t="s">
        <v>133</v>
      </c>
      <c r="B36" s="40" t="s">
        <v>132</v>
      </c>
      <c r="I36" s="45">
        <f>จ่ายจากเงินรายรับ!D43</f>
        <v>27414025.57</v>
      </c>
      <c r="J36" s="57" t="s">
        <v>162</v>
      </c>
    </row>
    <row r="37" spans="1:10" x14ac:dyDescent="0.6">
      <c r="A37" s="56"/>
      <c r="B37" s="40" t="s">
        <v>135</v>
      </c>
      <c r="I37" s="47">
        <f>จ่ายจากเงินรายรับ!D31</f>
        <v>25049316.199999999</v>
      </c>
      <c r="J37" s="57" t="s">
        <v>160</v>
      </c>
    </row>
    <row r="38" spans="1:10" x14ac:dyDescent="0.6">
      <c r="A38" s="56"/>
      <c r="B38" s="58" t="s">
        <v>136</v>
      </c>
      <c r="C38" s="58"/>
      <c r="I38" s="59">
        <f>I36-I37</f>
        <v>2364709.370000001</v>
      </c>
      <c r="J38" s="57" t="s">
        <v>160</v>
      </c>
    </row>
    <row r="39" spans="1:10" x14ac:dyDescent="0.6">
      <c r="A39" s="56" t="s">
        <v>134</v>
      </c>
      <c r="B39" s="40" t="s">
        <v>137</v>
      </c>
      <c r="I39" s="47">
        <f>G9</f>
        <v>591177.34250000026</v>
      </c>
    </row>
    <row r="40" spans="1:10" x14ac:dyDescent="0.6">
      <c r="A40" s="56"/>
      <c r="B40" s="40" t="s">
        <v>138</v>
      </c>
      <c r="I40" s="45">
        <f>I38-I39</f>
        <v>1773532.0275000008</v>
      </c>
    </row>
    <row r="41" spans="1:10" x14ac:dyDescent="0.6">
      <c r="A41" s="60" t="s">
        <v>139</v>
      </c>
      <c r="B41" s="42" t="s">
        <v>140</v>
      </c>
      <c r="C41" s="42"/>
      <c r="D41" s="42"/>
      <c r="E41" s="42"/>
      <c r="I41" s="61">
        <v>0</v>
      </c>
      <c r="J41" s="57" t="s">
        <v>175</v>
      </c>
    </row>
    <row r="42" spans="1:10" ht="25.5" thickBot="1" x14ac:dyDescent="0.65">
      <c r="A42" s="56"/>
      <c r="B42" s="62" t="s">
        <v>141</v>
      </c>
      <c r="I42" s="63">
        <f>I40-I41</f>
        <v>1773532.0275000008</v>
      </c>
    </row>
    <row r="43" spans="1:10" ht="25.5" thickTop="1" x14ac:dyDescent="0.6">
      <c r="A43" s="56"/>
      <c r="B43" s="40" t="s">
        <v>142</v>
      </c>
      <c r="D43" s="50"/>
    </row>
    <row r="44" spans="1:10" x14ac:dyDescent="0.6">
      <c r="A44" s="56"/>
      <c r="B44" s="40" t="s">
        <v>143</v>
      </c>
      <c r="D44" s="45"/>
    </row>
    <row r="45" spans="1:10" x14ac:dyDescent="0.6">
      <c r="A45" s="64"/>
      <c r="B45" s="65" t="s">
        <v>144</v>
      </c>
      <c r="D45" s="357">
        <f>I42*10/100</f>
        <v>177353.20275000005</v>
      </c>
      <c r="E45" s="357"/>
    </row>
    <row r="47" spans="1:10" x14ac:dyDescent="0.6">
      <c r="J47" s="42"/>
    </row>
    <row r="48" spans="1:10" x14ac:dyDescent="0.6">
      <c r="D48" s="40" t="s">
        <v>291</v>
      </c>
    </row>
    <row r="49" spans="5:12" x14ac:dyDescent="0.6">
      <c r="E49" s="40" t="s">
        <v>290</v>
      </c>
    </row>
    <row r="51" spans="5:12" x14ac:dyDescent="0.6">
      <c r="L51" s="42"/>
    </row>
  </sheetData>
  <mergeCells count="6">
    <mergeCell ref="D45:E45"/>
    <mergeCell ref="A1:I1"/>
    <mergeCell ref="A2:I2"/>
    <mergeCell ref="A3:I3"/>
    <mergeCell ref="A34:I34"/>
    <mergeCell ref="A35:I35"/>
  </mergeCells>
  <pageMargins left="0.65" right="0.27" top="0.66" bottom="0.66" header="0.3" footer="0.3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งบแสดงฐานะการเงิน(สท)</vt:lpstr>
      <vt:lpstr>งบแสดงฐานะการเงิน(นส)</vt:lpstr>
      <vt:lpstr>งบทรัพย์สิน2</vt:lpstr>
      <vt:lpstr>เงินฝากธนาคาร3-4</vt:lpstr>
      <vt:lpstr>ลูกหนี้5</vt:lpstr>
      <vt:lpstr>รายจ่ายค้างจ่าย10</vt:lpstr>
      <vt:lpstr>ฎีกาค้างจ่าย11</vt:lpstr>
      <vt:lpstr>เงินรับฝาก12-13</vt:lpstr>
      <vt:lpstr>งบเงินสะสม16</vt:lpstr>
      <vt:lpstr>หมายเหตุ16</vt:lpstr>
      <vt:lpstr>เงินทุนสำรองเงินสะสม17</vt:lpstr>
      <vt:lpstr>จ่ายจากเงินสะสม</vt:lpstr>
      <vt:lpstr>จ่ายจากเงินรายรับ</vt:lpstr>
      <vt:lpstr>แผนงานรวม</vt:lpstr>
      <vt:lpstr>แยกแผนงาน</vt:lpstr>
      <vt:lpstr>หมายเหตุประกอบผลการดำเนินงาน</vt:lpstr>
      <vt:lpstr>งบทดลองหลังปิดบัญชี</vt:lpstr>
      <vt:lpstr>กระดาษทำการ</vt:lpstr>
      <vt:lpstr>หมายเหตุ1</vt:lpstr>
      <vt:lpstr>จ่ายจากเงินรายรับ!Print_Area</vt:lpstr>
      <vt:lpstr>เงินทุนสำรองเงินสะสม17!Print_Titles</vt:lpstr>
      <vt:lpstr>ฎีกาค้างจ่าย11!Print_Titles</vt:lpstr>
      <vt:lpstr>หมายเหตุ16!Print_Titles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 in</cp:lastModifiedBy>
  <cp:lastPrinted>2017-11-06T06:39:34Z</cp:lastPrinted>
  <dcterms:created xsi:type="dcterms:W3CDTF">2010-10-14T10:25:23Z</dcterms:created>
  <dcterms:modified xsi:type="dcterms:W3CDTF">2018-06-20T06:46:20Z</dcterms:modified>
</cp:coreProperties>
</file>